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CRRMCITLN\Downloads\"/>
    </mc:Choice>
  </mc:AlternateContent>
  <xr:revisionPtr revIDLastSave="0" documentId="13_ncr:1_{D8998BFB-63D8-41DA-9906-BCFA97C8B79C}" xr6:coauthVersionLast="47" xr6:coauthVersionMax="47" xr10:uidLastSave="{00000000-0000-0000-0000-000000000000}"/>
  <bookViews>
    <workbookView xWindow="-108" yWindow="-108" windowWidth="23256" windowHeight="12456" firstSheet="1" activeTab="4" xr2:uid="{B1CA613B-FCD6-4170-A8A6-F63F63BBC13C}"/>
  </bookViews>
  <sheets>
    <sheet name="Male Pay Gap by Occ" sheetId="4" r:id="rId1"/>
    <sheet name="Male Pop Avg by Occ" sheetId="5" r:id="rId2"/>
    <sheet name="Female Pay Gap by Occ" sheetId="6" r:id="rId3"/>
    <sheet name="Female Pop Avg by Occ" sheetId="7" r:id="rId4"/>
    <sheet name="Salary Percentage Summary" sheetId="3" r:id="rId5"/>
  </sheets>
  <definedNames>
    <definedName name="_xlnm.Print_Titles" localSheetId="2">'Female Pay Gap by Occ'!$A:$A,'Female Pay Gap by Occ'!$3:$3</definedName>
    <definedName name="_xlnm.Print_Titles" localSheetId="3">'Female Pop Avg by Occ'!$3:$3</definedName>
    <definedName name="_xlnm.Print_Titles" localSheetId="0">'Male Pay Gap by Occ'!$A:$A,'Male Pay Gap by Occ'!$1:$3</definedName>
    <definedName name="_xlnm.Print_Titles" localSheetId="1">'Male Pop Avg by Occ'!$3:$3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2" i="3"/>
  <c r="D11" i="3"/>
  <c r="D7" i="3"/>
  <c r="D6" i="3"/>
  <c r="B6" i="3"/>
  <c r="B4" i="3"/>
  <c r="D4" i="3"/>
  <c r="D9" i="3"/>
  <c r="H9" i="3"/>
  <c r="F9" i="3"/>
  <c r="B9" i="3"/>
  <c r="F63" i="5"/>
  <c r="F64" i="5"/>
  <c r="H14" i="3"/>
  <c r="H13" i="3"/>
  <c r="H12" i="3"/>
  <c r="H11" i="3"/>
  <c r="H10" i="3"/>
  <c r="H7" i="3"/>
  <c r="H6" i="3"/>
  <c r="H5" i="3"/>
  <c r="H4" i="3"/>
  <c r="F14" i="3"/>
  <c r="F13" i="3"/>
  <c r="F12" i="3"/>
  <c r="F11" i="3"/>
  <c r="F10" i="3"/>
  <c r="F7" i="3"/>
  <c r="F6" i="3"/>
  <c r="F5" i="3"/>
  <c r="F4" i="3"/>
  <c r="D14" i="3"/>
  <c r="D10" i="3"/>
  <c r="D5" i="3"/>
  <c r="B14" i="3"/>
  <c r="B13" i="3"/>
  <c r="B12" i="3"/>
  <c r="B11" i="3"/>
  <c r="B10" i="3"/>
  <c r="B7" i="3"/>
  <c r="B5" i="3"/>
  <c r="G4" i="3" l="1"/>
  <c r="G14" i="3"/>
  <c r="G13" i="3"/>
  <c r="G12" i="3"/>
  <c r="G11" i="3"/>
  <c r="G10" i="3"/>
  <c r="G9" i="3"/>
  <c r="G7" i="3"/>
  <c r="G6" i="3"/>
  <c r="G5" i="3"/>
  <c r="B318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E318" i="6"/>
  <c r="D4" i="6" s="1"/>
  <c r="D7" i="6"/>
  <c r="D11" i="6"/>
  <c r="D15" i="6"/>
  <c r="D19" i="6"/>
  <c r="D23" i="6"/>
  <c r="D27" i="6"/>
  <c r="D31" i="6"/>
  <c r="D35" i="6"/>
  <c r="D39" i="6"/>
  <c r="D43" i="6"/>
  <c r="D47" i="6"/>
  <c r="D51" i="6"/>
  <c r="D55" i="6"/>
  <c r="D59" i="6"/>
  <c r="D63" i="6"/>
  <c r="D67" i="6"/>
  <c r="D71" i="6"/>
  <c r="D75" i="6"/>
  <c r="D79" i="6"/>
  <c r="D83" i="6"/>
  <c r="D87" i="6"/>
  <c r="D91" i="6"/>
  <c r="D95" i="6"/>
  <c r="D97" i="6"/>
  <c r="D99" i="6"/>
  <c r="D101" i="6"/>
  <c r="D103" i="6"/>
  <c r="D105" i="6"/>
  <c r="D107" i="6"/>
  <c r="D109" i="6"/>
  <c r="D111" i="6"/>
  <c r="D113" i="6"/>
  <c r="D115" i="6"/>
  <c r="D117" i="6"/>
  <c r="D119" i="6"/>
  <c r="D121" i="6"/>
  <c r="D123" i="6"/>
  <c r="D125" i="6"/>
  <c r="D127" i="6"/>
  <c r="D129" i="6"/>
  <c r="D131" i="6"/>
  <c r="D133" i="6"/>
  <c r="D135" i="6"/>
  <c r="D137" i="6"/>
  <c r="D139" i="6"/>
  <c r="D141" i="6"/>
  <c r="D143" i="6"/>
  <c r="D145" i="6"/>
  <c r="D147" i="6"/>
  <c r="D149" i="6"/>
  <c r="D151" i="6"/>
  <c r="D153" i="6"/>
  <c r="D155" i="6"/>
  <c r="D157" i="6"/>
  <c r="D159" i="6"/>
  <c r="D161" i="6"/>
  <c r="D163" i="6"/>
  <c r="D165" i="6"/>
  <c r="D167" i="6"/>
  <c r="D169" i="6"/>
  <c r="D171" i="6"/>
  <c r="D173" i="6"/>
  <c r="D175" i="6"/>
  <c r="D177" i="6"/>
  <c r="D179" i="6"/>
  <c r="D181" i="6"/>
  <c r="D183" i="6"/>
  <c r="D185" i="6"/>
  <c r="D187" i="6"/>
  <c r="D189" i="6"/>
  <c r="D191" i="6"/>
  <c r="D193" i="6"/>
  <c r="D195" i="6"/>
  <c r="D197" i="6"/>
  <c r="D199" i="6"/>
  <c r="D201" i="6"/>
  <c r="D203" i="6"/>
  <c r="D205" i="6"/>
  <c r="D207" i="6"/>
  <c r="D209" i="6"/>
  <c r="D211" i="6"/>
  <c r="D213" i="6"/>
  <c r="D215" i="6"/>
  <c r="D217" i="6"/>
  <c r="D219" i="6"/>
  <c r="D221" i="6"/>
  <c r="D223" i="6"/>
  <c r="D225" i="6"/>
  <c r="D227" i="6"/>
  <c r="D229" i="6"/>
  <c r="D231" i="6"/>
  <c r="D233" i="6"/>
  <c r="D235" i="6"/>
  <c r="D237" i="6"/>
  <c r="D239" i="6"/>
  <c r="D241" i="6"/>
  <c r="D243" i="6"/>
  <c r="D245" i="6"/>
  <c r="D247" i="6"/>
  <c r="D249" i="6"/>
  <c r="D251" i="6"/>
  <c r="D253" i="6"/>
  <c r="D255" i="6"/>
  <c r="D257" i="6"/>
  <c r="D259" i="6"/>
  <c r="D261" i="6"/>
  <c r="D263" i="6"/>
  <c r="D265" i="6"/>
  <c r="D267" i="6"/>
  <c r="D269" i="6"/>
  <c r="D271" i="6"/>
  <c r="D273" i="6"/>
  <c r="D275" i="6"/>
  <c r="D277" i="6"/>
  <c r="D279" i="6"/>
  <c r="D281" i="6"/>
  <c r="D283" i="6"/>
  <c r="D285" i="6"/>
  <c r="D287" i="6"/>
  <c r="D289" i="6"/>
  <c r="D291" i="6"/>
  <c r="D293" i="6"/>
  <c r="D295" i="6"/>
  <c r="D297" i="6"/>
  <c r="D299" i="6"/>
  <c r="D301" i="6"/>
  <c r="D303" i="6"/>
  <c r="D305" i="6"/>
  <c r="D307" i="6"/>
  <c r="D309" i="6"/>
  <c r="D311" i="6"/>
  <c r="D313" i="6"/>
  <c r="D315" i="6"/>
  <c r="D317" i="6"/>
  <c r="D318" i="6" l="1"/>
  <c r="D314" i="6"/>
  <c r="D310" i="6"/>
  <c r="D306" i="6"/>
  <c r="D302" i="6"/>
  <c r="D298" i="6"/>
  <c r="D294" i="6"/>
  <c r="D290" i="6"/>
  <c r="D286" i="6"/>
  <c r="D282" i="6"/>
  <c r="D278" i="6"/>
  <c r="D274" i="6"/>
  <c r="D270" i="6"/>
  <c r="D266" i="6"/>
  <c r="D262" i="6"/>
  <c r="D258" i="6"/>
  <c r="D254" i="6"/>
  <c r="D250" i="6"/>
  <c r="D246" i="6"/>
  <c r="D242" i="6"/>
  <c r="D238" i="6"/>
  <c r="D234" i="6"/>
  <c r="D230" i="6"/>
  <c r="D226" i="6"/>
  <c r="D222" i="6"/>
  <c r="D218" i="6"/>
  <c r="D214" i="6"/>
  <c r="D210" i="6"/>
  <c r="D206" i="6"/>
  <c r="D202" i="6"/>
  <c r="D198" i="6"/>
  <c r="D194" i="6"/>
  <c r="D190" i="6"/>
  <c r="D186" i="6"/>
  <c r="D182" i="6"/>
  <c r="D178" i="6"/>
  <c r="D174" i="6"/>
  <c r="D170" i="6"/>
  <c r="D166" i="6"/>
  <c r="D162" i="6"/>
  <c r="D158" i="6"/>
  <c r="D154" i="6"/>
  <c r="D150" i="6"/>
  <c r="D146" i="6"/>
  <c r="D142" i="6"/>
  <c r="D138" i="6"/>
  <c r="D134" i="6"/>
  <c r="D130" i="6"/>
  <c r="D126" i="6"/>
  <c r="D122" i="6"/>
  <c r="D118" i="6"/>
  <c r="D114" i="6"/>
  <c r="D110" i="6"/>
  <c r="D106" i="6"/>
  <c r="D102" i="6"/>
  <c r="D98" i="6"/>
  <c r="D94" i="6"/>
  <c r="D90" i="6"/>
  <c r="D86" i="6"/>
  <c r="D82" i="6"/>
  <c r="D78" i="6"/>
  <c r="D74" i="6"/>
  <c r="D70" i="6"/>
  <c r="D66" i="6"/>
  <c r="D62" i="6"/>
  <c r="D58" i="6"/>
  <c r="D54" i="6"/>
  <c r="D50" i="6"/>
  <c r="D46" i="6"/>
  <c r="D42" i="6"/>
  <c r="D38" i="6"/>
  <c r="D34" i="6"/>
  <c r="D30" i="6"/>
  <c r="D26" i="6"/>
  <c r="D22" i="6"/>
  <c r="D18" i="6"/>
  <c r="D14" i="6"/>
  <c r="D10" i="6"/>
  <c r="D6" i="6"/>
  <c r="D93" i="6"/>
  <c r="D89" i="6"/>
  <c r="D85" i="6"/>
  <c r="D81" i="6"/>
  <c r="D77" i="6"/>
  <c r="D73" i="6"/>
  <c r="D69" i="6"/>
  <c r="D65" i="6"/>
  <c r="D61" i="6"/>
  <c r="D57" i="6"/>
  <c r="D53" i="6"/>
  <c r="D49" i="6"/>
  <c r="D45" i="6"/>
  <c r="D41" i="6"/>
  <c r="D37" i="6"/>
  <c r="D33" i="6"/>
  <c r="D29" i="6"/>
  <c r="D25" i="6"/>
  <c r="D21" i="6"/>
  <c r="D17" i="6"/>
  <c r="D13" i="6"/>
  <c r="D9" i="6"/>
  <c r="D5" i="6"/>
  <c r="D316" i="6"/>
  <c r="D312" i="6"/>
  <c r="D308" i="6"/>
  <c r="D304" i="6"/>
  <c r="D300" i="6"/>
  <c r="D296" i="6"/>
  <c r="D292" i="6"/>
  <c r="D288" i="6"/>
  <c r="D284" i="6"/>
  <c r="D280" i="6"/>
  <c r="D276" i="6"/>
  <c r="D272" i="6"/>
  <c r="D268" i="6"/>
  <c r="D264" i="6"/>
  <c r="D260" i="6"/>
  <c r="D256" i="6"/>
  <c r="D252" i="6"/>
  <c r="D248" i="6"/>
  <c r="D244" i="6"/>
  <c r="D240" i="6"/>
  <c r="D236" i="6"/>
  <c r="D232" i="6"/>
  <c r="D228" i="6"/>
  <c r="D224" i="6"/>
  <c r="D220" i="6"/>
  <c r="D216" i="6"/>
  <c r="D212" i="6"/>
  <c r="D208" i="6"/>
  <c r="D204" i="6"/>
  <c r="D200" i="6"/>
  <c r="D196" i="6"/>
  <c r="D192" i="6"/>
  <c r="D188" i="6"/>
  <c r="D184" i="6"/>
  <c r="D180" i="6"/>
  <c r="D176" i="6"/>
  <c r="D172" i="6"/>
  <c r="D168" i="6"/>
  <c r="D164" i="6"/>
  <c r="D160" i="6"/>
  <c r="D156" i="6"/>
  <c r="D152" i="6"/>
  <c r="D148" i="6"/>
  <c r="D144" i="6"/>
  <c r="D140" i="6"/>
  <c r="D136" i="6"/>
  <c r="D132" i="6"/>
  <c r="D128" i="6"/>
  <c r="D124" i="6"/>
  <c r="D120" i="6"/>
  <c r="D116" i="6"/>
  <c r="D112" i="6"/>
  <c r="D108" i="6"/>
  <c r="D104" i="6"/>
  <c r="D100" i="6"/>
  <c r="D96" i="6"/>
  <c r="D92" i="6"/>
  <c r="D88" i="6"/>
  <c r="D84" i="6"/>
  <c r="D80" i="6"/>
  <c r="D76" i="6"/>
  <c r="D72" i="6"/>
  <c r="D68" i="6"/>
  <c r="D64" i="6"/>
  <c r="D60" i="6"/>
  <c r="D56" i="6"/>
  <c r="D52" i="6"/>
  <c r="D48" i="6"/>
  <c r="D44" i="6"/>
  <c r="D40" i="6"/>
  <c r="D36" i="6"/>
  <c r="D32" i="6"/>
  <c r="D28" i="6"/>
  <c r="D24" i="6"/>
  <c r="D20" i="6"/>
  <c r="D16" i="6"/>
  <c r="D12" i="6"/>
  <c r="D8" i="6"/>
  <c r="AA4" i="6" l="1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201" i="6"/>
  <c r="AA202" i="6"/>
  <c r="AA203" i="6"/>
  <c r="AA204" i="6"/>
  <c r="AA205" i="6"/>
  <c r="AA206" i="6"/>
  <c r="AA207" i="6"/>
  <c r="AA208" i="6"/>
  <c r="AA209" i="6"/>
  <c r="AA210" i="6"/>
  <c r="AA211" i="6"/>
  <c r="AA212" i="6"/>
  <c r="AA213" i="6"/>
  <c r="AA214" i="6"/>
  <c r="AA215" i="6"/>
  <c r="AA216" i="6"/>
  <c r="AA217" i="6"/>
  <c r="AA218" i="6"/>
  <c r="AA219" i="6"/>
  <c r="AA220" i="6"/>
  <c r="AA221" i="6"/>
  <c r="AA222" i="6"/>
  <c r="AA223" i="6"/>
  <c r="AA224" i="6"/>
  <c r="AA225" i="6"/>
  <c r="AA226" i="6"/>
  <c r="AA227" i="6"/>
  <c r="AA228" i="6"/>
  <c r="AA229" i="6"/>
  <c r="AA230" i="6"/>
  <c r="AA231" i="6"/>
  <c r="AA232" i="6"/>
  <c r="AA233" i="6"/>
  <c r="AA234" i="6"/>
  <c r="AA235" i="6"/>
  <c r="AA236" i="6"/>
  <c r="AA237" i="6"/>
  <c r="AA238" i="6"/>
  <c r="AA239" i="6"/>
  <c r="AA240" i="6"/>
  <c r="AA241" i="6"/>
  <c r="AA242" i="6"/>
  <c r="AA243" i="6"/>
  <c r="AA244" i="6"/>
  <c r="AA245" i="6"/>
  <c r="AA246" i="6"/>
  <c r="AA247" i="6"/>
  <c r="AA248" i="6"/>
  <c r="AA249" i="6"/>
  <c r="AA250" i="6"/>
  <c r="AA251" i="6"/>
  <c r="AA252" i="6"/>
  <c r="AA253" i="6"/>
  <c r="AA254" i="6"/>
  <c r="AA255" i="6"/>
  <c r="AA256" i="6"/>
  <c r="AA257" i="6"/>
  <c r="AA258" i="6"/>
  <c r="AA259" i="6"/>
  <c r="AA260" i="6"/>
  <c r="AA261" i="6"/>
  <c r="AA262" i="6"/>
  <c r="AA263" i="6"/>
  <c r="AA264" i="6"/>
  <c r="AA265" i="6"/>
  <c r="AA266" i="6"/>
  <c r="AA267" i="6"/>
  <c r="AA268" i="6"/>
  <c r="AA269" i="6"/>
  <c r="AA270" i="6"/>
  <c r="AA271" i="6"/>
  <c r="AA272" i="6"/>
  <c r="AA273" i="6"/>
  <c r="AA274" i="6"/>
  <c r="AA275" i="6"/>
  <c r="AA276" i="6"/>
  <c r="AA277" i="6"/>
  <c r="AA278" i="6"/>
  <c r="AA279" i="6"/>
  <c r="AA280" i="6"/>
  <c r="AA281" i="6"/>
  <c r="AA282" i="6"/>
  <c r="AA283" i="6"/>
  <c r="AA284" i="6"/>
  <c r="AA285" i="6"/>
  <c r="AA286" i="6"/>
  <c r="AA287" i="6"/>
  <c r="AA288" i="6"/>
  <c r="AA289" i="6"/>
  <c r="AA290" i="6"/>
  <c r="AA291" i="6"/>
  <c r="AA292" i="6"/>
  <c r="AA293" i="6"/>
  <c r="AA294" i="6"/>
  <c r="AA295" i="6"/>
  <c r="AA296" i="6"/>
  <c r="AA297" i="6"/>
  <c r="AA298" i="6"/>
  <c r="AA299" i="6"/>
  <c r="AA300" i="6"/>
  <c r="AA301" i="6"/>
  <c r="AA302" i="6"/>
  <c r="AA303" i="6"/>
  <c r="AA304" i="6"/>
  <c r="AA305" i="6"/>
  <c r="AA306" i="6"/>
  <c r="AA307" i="6"/>
  <c r="AA308" i="6"/>
  <c r="AA309" i="6"/>
  <c r="AA310" i="6"/>
  <c r="AA311" i="6"/>
  <c r="AA312" i="6"/>
  <c r="AA313" i="6"/>
  <c r="AA314" i="6"/>
  <c r="AA315" i="6"/>
  <c r="AA316" i="6"/>
  <c r="AA317" i="6"/>
  <c r="AA318" i="6"/>
  <c r="Y318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196" i="6"/>
  <c r="W197" i="6"/>
  <c r="W198" i="6"/>
  <c r="W199" i="6"/>
  <c r="W200" i="6"/>
  <c r="W201" i="6"/>
  <c r="W202" i="6"/>
  <c r="W203" i="6"/>
  <c r="W204" i="6"/>
  <c r="W205" i="6"/>
  <c r="W206" i="6"/>
  <c r="W207" i="6"/>
  <c r="W208" i="6"/>
  <c r="W209" i="6"/>
  <c r="W210" i="6"/>
  <c r="W211" i="6"/>
  <c r="W212" i="6"/>
  <c r="W213" i="6"/>
  <c r="W214" i="6"/>
  <c r="W215" i="6"/>
  <c r="W216" i="6"/>
  <c r="W217" i="6"/>
  <c r="W218" i="6"/>
  <c r="W219" i="6"/>
  <c r="W220" i="6"/>
  <c r="W221" i="6"/>
  <c r="W222" i="6"/>
  <c r="W223" i="6"/>
  <c r="W224" i="6"/>
  <c r="W225" i="6"/>
  <c r="W226" i="6"/>
  <c r="W227" i="6"/>
  <c r="W228" i="6"/>
  <c r="W229" i="6"/>
  <c r="W230" i="6"/>
  <c r="W231" i="6"/>
  <c r="W232" i="6"/>
  <c r="W233" i="6"/>
  <c r="W234" i="6"/>
  <c r="W235" i="6"/>
  <c r="W236" i="6"/>
  <c r="W237" i="6"/>
  <c r="W238" i="6"/>
  <c r="W239" i="6"/>
  <c r="W240" i="6"/>
  <c r="W241" i="6"/>
  <c r="W242" i="6"/>
  <c r="W243" i="6"/>
  <c r="W244" i="6"/>
  <c r="W245" i="6"/>
  <c r="W246" i="6"/>
  <c r="W247" i="6"/>
  <c r="W248" i="6"/>
  <c r="W249" i="6"/>
  <c r="W250" i="6"/>
  <c r="W251" i="6"/>
  <c r="W252" i="6"/>
  <c r="W253" i="6"/>
  <c r="W254" i="6"/>
  <c r="W255" i="6"/>
  <c r="W256" i="6"/>
  <c r="W257" i="6"/>
  <c r="W258" i="6"/>
  <c r="W259" i="6"/>
  <c r="W260" i="6"/>
  <c r="W261" i="6"/>
  <c r="W262" i="6"/>
  <c r="W263" i="6"/>
  <c r="W264" i="6"/>
  <c r="W265" i="6"/>
  <c r="W266" i="6"/>
  <c r="W267" i="6"/>
  <c r="W268" i="6"/>
  <c r="W269" i="6"/>
  <c r="W270" i="6"/>
  <c r="W271" i="6"/>
  <c r="W272" i="6"/>
  <c r="W273" i="6"/>
  <c r="W274" i="6"/>
  <c r="W275" i="6"/>
  <c r="W276" i="6"/>
  <c r="W277" i="6"/>
  <c r="W278" i="6"/>
  <c r="W279" i="6"/>
  <c r="W280" i="6"/>
  <c r="W281" i="6"/>
  <c r="W282" i="6"/>
  <c r="W283" i="6"/>
  <c r="W284" i="6"/>
  <c r="W285" i="6"/>
  <c r="W286" i="6"/>
  <c r="W287" i="6"/>
  <c r="W288" i="6"/>
  <c r="W289" i="6"/>
  <c r="W290" i="6"/>
  <c r="W291" i="6"/>
  <c r="W292" i="6"/>
  <c r="W293" i="6"/>
  <c r="W294" i="6"/>
  <c r="W295" i="6"/>
  <c r="W296" i="6"/>
  <c r="W297" i="6"/>
  <c r="W298" i="6"/>
  <c r="W299" i="6"/>
  <c r="W300" i="6"/>
  <c r="W301" i="6"/>
  <c r="W302" i="6"/>
  <c r="W303" i="6"/>
  <c r="W304" i="6"/>
  <c r="W305" i="6"/>
  <c r="W306" i="6"/>
  <c r="W307" i="6"/>
  <c r="W308" i="6"/>
  <c r="W309" i="6"/>
  <c r="W310" i="6"/>
  <c r="W311" i="6"/>
  <c r="W312" i="6"/>
  <c r="W313" i="6"/>
  <c r="W314" i="6"/>
  <c r="W315" i="6"/>
  <c r="W316" i="6"/>
  <c r="W317" i="6"/>
  <c r="W318" i="6"/>
  <c r="U318" i="6"/>
  <c r="T36" i="6" s="1"/>
  <c r="F36" i="7" s="1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S201" i="6"/>
  <c r="S202" i="6"/>
  <c r="S203" i="6"/>
  <c r="S204" i="6"/>
  <c r="S205" i="6"/>
  <c r="S206" i="6"/>
  <c r="S207" i="6"/>
  <c r="S208" i="6"/>
  <c r="S209" i="6"/>
  <c r="S210" i="6"/>
  <c r="S211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4" i="6"/>
  <c r="S235" i="6"/>
  <c r="S236" i="6"/>
  <c r="S237" i="6"/>
  <c r="S238" i="6"/>
  <c r="S239" i="6"/>
  <c r="S240" i="6"/>
  <c r="S241" i="6"/>
  <c r="S242" i="6"/>
  <c r="S243" i="6"/>
  <c r="S244" i="6"/>
  <c r="S245" i="6"/>
  <c r="S246" i="6"/>
  <c r="S247" i="6"/>
  <c r="S248" i="6"/>
  <c r="S249" i="6"/>
  <c r="S250" i="6"/>
  <c r="S251" i="6"/>
  <c r="S252" i="6"/>
  <c r="S253" i="6"/>
  <c r="S254" i="6"/>
  <c r="S255" i="6"/>
  <c r="S256" i="6"/>
  <c r="S257" i="6"/>
  <c r="S258" i="6"/>
  <c r="S259" i="6"/>
  <c r="S260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3" i="6"/>
  <c r="S284" i="6"/>
  <c r="S285" i="6"/>
  <c r="S286" i="6"/>
  <c r="S287" i="6"/>
  <c r="S288" i="6"/>
  <c r="S289" i="6"/>
  <c r="S290" i="6"/>
  <c r="S291" i="6"/>
  <c r="S292" i="6"/>
  <c r="S293" i="6"/>
  <c r="S294" i="6"/>
  <c r="S295" i="6"/>
  <c r="S296" i="6"/>
  <c r="S297" i="6"/>
  <c r="S298" i="6"/>
  <c r="S299" i="6"/>
  <c r="S300" i="6"/>
  <c r="S301" i="6"/>
  <c r="S302" i="6"/>
  <c r="S303" i="6"/>
  <c r="S304" i="6"/>
  <c r="S305" i="6"/>
  <c r="S306" i="6"/>
  <c r="S307" i="6"/>
  <c r="S308" i="6"/>
  <c r="S309" i="6"/>
  <c r="S310" i="6"/>
  <c r="S311" i="6"/>
  <c r="S312" i="6"/>
  <c r="S313" i="6"/>
  <c r="S314" i="6"/>
  <c r="S315" i="6"/>
  <c r="S316" i="6"/>
  <c r="S317" i="6"/>
  <c r="S318" i="6"/>
  <c r="Q318" i="6"/>
  <c r="P6" i="6" s="1"/>
  <c r="E6" i="7" s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M318" i="6"/>
  <c r="L12" i="6" s="1"/>
  <c r="D12" i="7" s="1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I318" i="6"/>
  <c r="H4" i="6" s="1"/>
  <c r="B318" i="6"/>
  <c r="L262" i="6" l="1"/>
  <c r="D262" i="7" s="1"/>
  <c r="L219" i="6"/>
  <c r="D219" i="7" s="1"/>
  <c r="L294" i="6"/>
  <c r="D294" i="7" s="1"/>
  <c r="L307" i="6"/>
  <c r="D307" i="7" s="1"/>
  <c r="L279" i="6"/>
  <c r="D279" i="7" s="1"/>
  <c r="L240" i="6"/>
  <c r="D240" i="7" s="1"/>
  <c r="L198" i="6"/>
  <c r="D198" i="7" s="1"/>
  <c r="L300" i="6"/>
  <c r="D300" i="7" s="1"/>
  <c r="L272" i="6"/>
  <c r="D272" i="7" s="1"/>
  <c r="L230" i="6"/>
  <c r="D230" i="7" s="1"/>
  <c r="L80" i="6"/>
  <c r="D80" i="7" s="1"/>
  <c r="L315" i="6"/>
  <c r="D315" i="7" s="1"/>
  <c r="L286" i="6"/>
  <c r="D286" i="7" s="1"/>
  <c r="L251" i="6"/>
  <c r="D251" i="7" s="1"/>
  <c r="L208" i="6"/>
  <c r="D208" i="7" s="1"/>
  <c r="L38" i="6"/>
  <c r="D38" i="7" s="1"/>
  <c r="P306" i="6"/>
  <c r="E306" i="7" s="1"/>
  <c r="P226" i="6"/>
  <c r="E226" i="7" s="1"/>
  <c r="P98" i="6"/>
  <c r="E98" i="7" s="1"/>
  <c r="L312" i="6"/>
  <c r="D312" i="7" s="1"/>
  <c r="L299" i="6"/>
  <c r="D299" i="7" s="1"/>
  <c r="L284" i="6"/>
  <c r="D284" i="7" s="1"/>
  <c r="L259" i="6"/>
  <c r="D259" i="7" s="1"/>
  <c r="L227" i="6"/>
  <c r="D227" i="7" s="1"/>
  <c r="L206" i="6"/>
  <c r="D206" i="7" s="1"/>
  <c r="L184" i="6"/>
  <c r="D184" i="7" s="1"/>
  <c r="L174" i="6"/>
  <c r="D174" i="7" s="1"/>
  <c r="L150" i="6"/>
  <c r="D150" i="7" s="1"/>
  <c r="L118" i="6"/>
  <c r="D118" i="7" s="1"/>
  <c r="L96" i="6"/>
  <c r="D96" i="7" s="1"/>
  <c r="L76" i="6"/>
  <c r="D76" i="7" s="1"/>
  <c r="L54" i="6"/>
  <c r="D54" i="7" s="1"/>
  <c r="P315" i="6"/>
  <c r="E315" i="7" s="1"/>
  <c r="P299" i="6"/>
  <c r="E299" i="7" s="1"/>
  <c r="P283" i="6"/>
  <c r="E283" i="7" s="1"/>
  <c r="P267" i="6"/>
  <c r="E267" i="7" s="1"/>
  <c r="P251" i="6"/>
  <c r="E251" i="7" s="1"/>
  <c r="P235" i="6"/>
  <c r="E235" i="7" s="1"/>
  <c r="P219" i="6"/>
  <c r="E219" i="7" s="1"/>
  <c r="P203" i="6"/>
  <c r="E203" i="7" s="1"/>
  <c r="P187" i="6"/>
  <c r="E187" i="7" s="1"/>
  <c r="P171" i="6"/>
  <c r="E171" i="7" s="1"/>
  <c r="P155" i="6"/>
  <c r="E155" i="7" s="1"/>
  <c r="P139" i="6"/>
  <c r="E139" i="7" s="1"/>
  <c r="P118" i="6"/>
  <c r="E118" i="7" s="1"/>
  <c r="P86" i="6"/>
  <c r="E86" i="7" s="1"/>
  <c r="P54" i="6"/>
  <c r="E54" i="7" s="1"/>
  <c r="P22" i="6"/>
  <c r="E22" i="7" s="1"/>
  <c r="L187" i="6"/>
  <c r="D187" i="7" s="1"/>
  <c r="L176" i="6"/>
  <c r="D176" i="7" s="1"/>
  <c r="L166" i="6"/>
  <c r="D166" i="7" s="1"/>
  <c r="L154" i="6"/>
  <c r="D154" i="7" s="1"/>
  <c r="L139" i="6"/>
  <c r="D139" i="7" s="1"/>
  <c r="L124" i="6"/>
  <c r="D124" i="7" s="1"/>
  <c r="L102" i="6"/>
  <c r="D102" i="7" s="1"/>
  <c r="L60" i="6"/>
  <c r="D60" i="7" s="1"/>
  <c r="P290" i="6"/>
  <c r="E290" i="7" s="1"/>
  <c r="P258" i="6"/>
  <c r="E258" i="7" s="1"/>
  <c r="P194" i="6"/>
  <c r="E194" i="7" s="1"/>
  <c r="P162" i="6"/>
  <c r="E162" i="7" s="1"/>
  <c r="P130" i="6"/>
  <c r="E130" i="7" s="1"/>
  <c r="P34" i="6"/>
  <c r="E34" i="7" s="1"/>
  <c r="L248" i="6"/>
  <c r="D248" i="7" s="1"/>
  <c r="C4" i="7"/>
  <c r="L4" i="6"/>
  <c r="D4" i="7" s="1"/>
  <c r="L311" i="6"/>
  <c r="D311" i="7" s="1"/>
  <c r="L304" i="6"/>
  <c r="D304" i="7" s="1"/>
  <c r="L296" i="6"/>
  <c r="D296" i="7" s="1"/>
  <c r="L290" i="6"/>
  <c r="D290" i="7" s="1"/>
  <c r="L283" i="6"/>
  <c r="D283" i="7" s="1"/>
  <c r="L275" i="6"/>
  <c r="D275" i="7" s="1"/>
  <c r="L267" i="6"/>
  <c r="D267" i="7" s="1"/>
  <c r="L256" i="6"/>
  <c r="D256" i="7" s="1"/>
  <c r="L246" i="6"/>
  <c r="D246" i="7" s="1"/>
  <c r="L235" i="6"/>
  <c r="D235" i="7" s="1"/>
  <c r="L224" i="6"/>
  <c r="D224" i="7" s="1"/>
  <c r="L214" i="6"/>
  <c r="D214" i="7" s="1"/>
  <c r="L203" i="6"/>
  <c r="D203" i="7" s="1"/>
  <c r="L192" i="6"/>
  <c r="D192" i="7" s="1"/>
  <c r="L182" i="6"/>
  <c r="D182" i="7" s="1"/>
  <c r="L171" i="6"/>
  <c r="D171" i="7" s="1"/>
  <c r="L160" i="6"/>
  <c r="D160" i="7" s="1"/>
  <c r="L147" i="6"/>
  <c r="D147" i="7" s="1"/>
  <c r="L132" i="6"/>
  <c r="D132" i="7" s="1"/>
  <c r="L112" i="6"/>
  <c r="D112" i="7" s="1"/>
  <c r="L92" i="6"/>
  <c r="D92" i="7" s="1"/>
  <c r="L70" i="6"/>
  <c r="D70" i="7" s="1"/>
  <c r="L48" i="6"/>
  <c r="D48" i="7" s="1"/>
  <c r="L28" i="6"/>
  <c r="D28" i="7" s="1"/>
  <c r="P314" i="6"/>
  <c r="E314" i="7" s="1"/>
  <c r="P298" i="6"/>
  <c r="E298" i="7" s="1"/>
  <c r="P282" i="6"/>
  <c r="E282" i="7" s="1"/>
  <c r="P266" i="6"/>
  <c r="E266" i="7" s="1"/>
  <c r="P250" i="6"/>
  <c r="E250" i="7" s="1"/>
  <c r="P234" i="6"/>
  <c r="E234" i="7" s="1"/>
  <c r="P218" i="6"/>
  <c r="E218" i="7" s="1"/>
  <c r="P202" i="6"/>
  <c r="E202" i="7" s="1"/>
  <c r="P186" i="6"/>
  <c r="E186" i="7" s="1"/>
  <c r="P170" i="6"/>
  <c r="E170" i="7" s="1"/>
  <c r="P154" i="6"/>
  <c r="E154" i="7" s="1"/>
  <c r="P138" i="6"/>
  <c r="E138" i="7" s="1"/>
  <c r="P114" i="6"/>
  <c r="E114" i="7" s="1"/>
  <c r="P82" i="6"/>
  <c r="E82" i="7" s="1"/>
  <c r="P50" i="6"/>
  <c r="E50" i="7" s="1"/>
  <c r="P18" i="6"/>
  <c r="E18" i="7" s="1"/>
  <c r="P274" i="6"/>
  <c r="E274" i="7" s="1"/>
  <c r="P242" i="6"/>
  <c r="E242" i="7" s="1"/>
  <c r="P210" i="6"/>
  <c r="E210" i="7" s="1"/>
  <c r="P178" i="6"/>
  <c r="E178" i="7" s="1"/>
  <c r="P146" i="6"/>
  <c r="E146" i="7" s="1"/>
  <c r="P66" i="6"/>
  <c r="E66" i="7" s="1"/>
  <c r="L306" i="6"/>
  <c r="D306" i="7" s="1"/>
  <c r="L291" i="6"/>
  <c r="D291" i="7" s="1"/>
  <c r="L278" i="6"/>
  <c r="D278" i="7" s="1"/>
  <c r="L270" i="6"/>
  <c r="D270" i="7" s="1"/>
  <c r="L238" i="6"/>
  <c r="D238" i="7" s="1"/>
  <c r="L216" i="6"/>
  <c r="D216" i="7" s="1"/>
  <c r="L195" i="6"/>
  <c r="D195" i="7" s="1"/>
  <c r="L163" i="6"/>
  <c r="D163" i="7" s="1"/>
  <c r="L136" i="6"/>
  <c r="D136" i="7" s="1"/>
  <c r="L32" i="6"/>
  <c r="D32" i="7" s="1"/>
  <c r="L316" i="6"/>
  <c r="D316" i="7" s="1"/>
  <c r="L310" i="6"/>
  <c r="D310" i="7" s="1"/>
  <c r="L302" i="6"/>
  <c r="D302" i="7" s="1"/>
  <c r="L295" i="6"/>
  <c r="D295" i="7" s="1"/>
  <c r="L288" i="6"/>
  <c r="D288" i="7" s="1"/>
  <c r="L280" i="6"/>
  <c r="D280" i="7" s="1"/>
  <c r="L274" i="6"/>
  <c r="D274" i="7" s="1"/>
  <c r="L264" i="6"/>
  <c r="D264" i="7" s="1"/>
  <c r="L254" i="6"/>
  <c r="D254" i="7" s="1"/>
  <c r="L243" i="6"/>
  <c r="D243" i="7" s="1"/>
  <c r="L232" i="6"/>
  <c r="D232" i="7" s="1"/>
  <c r="L222" i="6"/>
  <c r="D222" i="7" s="1"/>
  <c r="L211" i="6"/>
  <c r="D211" i="7" s="1"/>
  <c r="L200" i="6"/>
  <c r="D200" i="7" s="1"/>
  <c r="L190" i="6"/>
  <c r="D190" i="7" s="1"/>
  <c r="L179" i="6"/>
  <c r="D179" i="7" s="1"/>
  <c r="L168" i="6"/>
  <c r="D168" i="7" s="1"/>
  <c r="L158" i="6"/>
  <c r="D158" i="7" s="1"/>
  <c r="L143" i="6"/>
  <c r="D143" i="7" s="1"/>
  <c r="L128" i="6"/>
  <c r="D128" i="7" s="1"/>
  <c r="L108" i="6"/>
  <c r="D108" i="7" s="1"/>
  <c r="L86" i="6"/>
  <c r="D86" i="7" s="1"/>
  <c r="L64" i="6"/>
  <c r="D64" i="7" s="1"/>
  <c r="L44" i="6"/>
  <c r="D44" i="7" s="1"/>
  <c r="L16" i="6"/>
  <c r="D16" i="7" s="1"/>
  <c r="P307" i="6"/>
  <c r="E307" i="7" s="1"/>
  <c r="P291" i="6"/>
  <c r="E291" i="7" s="1"/>
  <c r="P275" i="6"/>
  <c r="E275" i="7" s="1"/>
  <c r="P259" i="6"/>
  <c r="E259" i="7" s="1"/>
  <c r="P243" i="6"/>
  <c r="E243" i="7" s="1"/>
  <c r="P227" i="6"/>
  <c r="E227" i="7" s="1"/>
  <c r="P211" i="6"/>
  <c r="E211" i="7" s="1"/>
  <c r="P195" i="6"/>
  <c r="E195" i="7" s="1"/>
  <c r="P179" i="6"/>
  <c r="E179" i="7" s="1"/>
  <c r="P163" i="6"/>
  <c r="E163" i="7" s="1"/>
  <c r="P147" i="6"/>
  <c r="E147" i="7" s="1"/>
  <c r="P131" i="6"/>
  <c r="E131" i="7" s="1"/>
  <c r="P102" i="6"/>
  <c r="E102" i="7" s="1"/>
  <c r="P70" i="6"/>
  <c r="E70" i="7" s="1"/>
  <c r="P38" i="6"/>
  <c r="E38" i="7" s="1"/>
  <c r="H315" i="6"/>
  <c r="C315" i="7" s="1"/>
  <c r="H307" i="6"/>
  <c r="C307" i="7" s="1"/>
  <c r="H303" i="6"/>
  <c r="C303" i="7" s="1"/>
  <c r="H295" i="6"/>
  <c r="C295" i="7" s="1"/>
  <c r="H287" i="6"/>
  <c r="C287" i="7" s="1"/>
  <c r="H279" i="6"/>
  <c r="C279" i="7" s="1"/>
  <c r="H271" i="6"/>
  <c r="C271" i="7" s="1"/>
  <c r="H263" i="6"/>
  <c r="C263" i="7" s="1"/>
  <c r="H251" i="6"/>
  <c r="C251" i="7" s="1"/>
  <c r="H243" i="6"/>
  <c r="C243" i="7" s="1"/>
  <c r="H235" i="6"/>
  <c r="C235" i="7" s="1"/>
  <c r="H227" i="6"/>
  <c r="C227" i="7" s="1"/>
  <c r="H219" i="6"/>
  <c r="C219" i="7" s="1"/>
  <c r="H211" i="6"/>
  <c r="C211" i="7" s="1"/>
  <c r="H203" i="6"/>
  <c r="C203" i="7" s="1"/>
  <c r="H195" i="6"/>
  <c r="C195" i="7" s="1"/>
  <c r="H187" i="6"/>
  <c r="C187" i="7" s="1"/>
  <c r="H179" i="6"/>
  <c r="C179" i="7" s="1"/>
  <c r="H171" i="6"/>
  <c r="C171" i="7" s="1"/>
  <c r="H163" i="6"/>
  <c r="C163" i="7" s="1"/>
  <c r="H155" i="6"/>
  <c r="C155" i="7" s="1"/>
  <c r="H147" i="6"/>
  <c r="C147" i="7" s="1"/>
  <c r="H139" i="6"/>
  <c r="C139" i="7" s="1"/>
  <c r="H131" i="6"/>
  <c r="C131" i="7" s="1"/>
  <c r="H123" i="6"/>
  <c r="C123" i="7" s="1"/>
  <c r="H111" i="6"/>
  <c r="C111" i="7" s="1"/>
  <c r="H103" i="6"/>
  <c r="C103" i="7" s="1"/>
  <c r="H99" i="6"/>
  <c r="C99" i="7" s="1"/>
  <c r="H91" i="6"/>
  <c r="C91" i="7" s="1"/>
  <c r="H83" i="6"/>
  <c r="C83" i="7" s="1"/>
  <c r="H75" i="6"/>
  <c r="C75" i="7" s="1"/>
  <c r="H71" i="6"/>
  <c r="C71" i="7" s="1"/>
  <c r="H63" i="6"/>
  <c r="C63" i="7" s="1"/>
  <c r="H51" i="6"/>
  <c r="C51" i="7" s="1"/>
  <c r="H43" i="6"/>
  <c r="C43" i="7" s="1"/>
  <c r="H35" i="6"/>
  <c r="C35" i="7" s="1"/>
  <c r="H27" i="6"/>
  <c r="C27" i="7" s="1"/>
  <c r="H23" i="6"/>
  <c r="C23" i="7" s="1"/>
  <c r="H15" i="6"/>
  <c r="C15" i="7" s="1"/>
  <c r="H7" i="6"/>
  <c r="C7" i="7" s="1"/>
  <c r="T317" i="6"/>
  <c r="F317" i="7" s="1"/>
  <c r="T285" i="6"/>
  <c r="F285" i="7" s="1"/>
  <c r="T238" i="6"/>
  <c r="F238" i="7" s="1"/>
  <c r="T206" i="6"/>
  <c r="F206" i="7" s="1"/>
  <c r="T142" i="6"/>
  <c r="F142" i="7" s="1"/>
  <c r="T110" i="6"/>
  <c r="F110" i="7" s="1"/>
  <c r="X5" i="6"/>
  <c r="G5" i="7" s="1"/>
  <c r="X9" i="6"/>
  <c r="G9" i="7" s="1"/>
  <c r="X13" i="6"/>
  <c r="G13" i="7" s="1"/>
  <c r="X17" i="6"/>
  <c r="G17" i="7" s="1"/>
  <c r="X21" i="6"/>
  <c r="G21" i="7" s="1"/>
  <c r="X25" i="6"/>
  <c r="G25" i="7" s="1"/>
  <c r="X29" i="6"/>
  <c r="G29" i="7" s="1"/>
  <c r="X33" i="6"/>
  <c r="G33" i="7" s="1"/>
  <c r="X37" i="6"/>
  <c r="G37" i="7" s="1"/>
  <c r="X41" i="6"/>
  <c r="G41" i="7" s="1"/>
  <c r="X45" i="6"/>
  <c r="G45" i="7" s="1"/>
  <c r="X49" i="6"/>
  <c r="G49" i="7" s="1"/>
  <c r="X53" i="6"/>
  <c r="G53" i="7" s="1"/>
  <c r="X57" i="6"/>
  <c r="G57" i="7" s="1"/>
  <c r="X61" i="6"/>
  <c r="G61" i="7" s="1"/>
  <c r="X65" i="6"/>
  <c r="G65" i="7" s="1"/>
  <c r="X69" i="6"/>
  <c r="G69" i="7" s="1"/>
  <c r="X73" i="6"/>
  <c r="G73" i="7" s="1"/>
  <c r="X77" i="6"/>
  <c r="G77" i="7" s="1"/>
  <c r="X81" i="6"/>
  <c r="G81" i="7" s="1"/>
  <c r="X85" i="6"/>
  <c r="G85" i="7" s="1"/>
  <c r="X89" i="6"/>
  <c r="G89" i="7" s="1"/>
  <c r="X93" i="6"/>
  <c r="G93" i="7" s="1"/>
  <c r="X97" i="6"/>
  <c r="G97" i="7" s="1"/>
  <c r="X101" i="6"/>
  <c r="G101" i="7" s="1"/>
  <c r="X105" i="6"/>
  <c r="G105" i="7" s="1"/>
  <c r="X109" i="6"/>
  <c r="G109" i="7" s="1"/>
  <c r="X113" i="6"/>
  <c r="G113" i="7" s="1"/>
  <c r="X117" i="6"/>
  <c r="G117" i="7" s="1"/>
  <c r="X121" i="6"/>
  <c r="G121" i="7" s="1"/>
  <c r="X125" i="6"/>
  <c r="G125" i="7" s="1"/>
  <c r="X6" i="6"/>
  <c r="G6" i="7" s="1"/>
  <c r="X10" i="6"/>
  <c r="G10" i="7" s="1"/>
  <c r="X14" i="6"/>
  <c r="G14" i="7" s="1"/>
  <c r="X18" i="6"/>
  <c r="G18" i="7" s="1"/>
  <c r="X22" i="6"/>
  <c r="G22" i="7" s="1"/>
  <c r="X26" i="6"/>
  <c r="G26" i="7" s="1"/>
  <c r="X30" i="6"/>
  <c r="G30" i="7" s="1"/>
  <c r="X34" i="6"/>
  <c r="G34" i="7" s="1"/>
  <c r="X38" i="6"/>
  <c r="G38" i="7" s="1"/>
  <c r="X42" i="6"/>
  <c r="G42" i="7" s="1"/>
  <c r="X46" i="6"/>
  <c r="G46" i="7" s="1"/>
  <c r="X50" i="6"/>
  <c r="G50" i="7" s="1"/>
  <c r="X54" i="6"/>
  <c r="G54" i="7" s="1"/>
  <c r="X58" i="6"/>
  <c r="G58" i="7" s="1"/>
  <c r="X62" i="6"/>
  <c r="G62" i="7" s="1"/>
  <c r="X66" i="6"/>
  <c r="G66" i="7" s="1"/>
  <c r="X70" i="6"/>
  <c r="G70" i="7" s="1"/>
  <c r="X74" i="6"/>
  <c r="G74" i="7" s="1"/>
  <c r="X78" i="6"/>
  <c r="G78" i="7" s="1"/>
  <c r="X82" i="6"/>
  <c r="G82" i="7" s="1"/>
  <c r="X86" i="6"/>
  <c r="G86" i="7" s="1"/>
  <c r="X90" i="6"/>
  <c r="G90" i="7" s="1"/>
  <c r="X94" i="6"/>
  <c r="G94" i="7" s="1"/>
  <c r="X98" i="6"/>
  <c r="G98" i="7" s="1"/>
  <c r="X102" i="6"/>
  <c r="G102" i="7" s="1"/>
  <c r="X106" i="6"/>
  <c r="G106" i="7" s="1"/>
  <c r="X110" i="6"/>
  <c r="G110" i="7" s="1"/>
  <c r="X114" i="6"/>
  <c r="G114" i="7" s="1"/>
  <c r="X118" i="6"/>
  <c r="G118" i="7" s="1"/>
  <c r="X122" i="6"/>
  <c r="G122" i="7" s="1"/>
  <c r="X11" i="6"/>
  <c r="G11" i="7" s="1"/>
  <c r="X19" i="6"/>
  <c r="G19" i="7" s="1"/>
  <c r="X27" i="6"/>
  <c r="G27" i="7" s="1"/>
  <c r="X35" i="6"/>
  <c r="G35" i="7" s="1"/>
  <c r="X43" i="6"/>
  <c r="G43" i="7" s="1"/>
  <c r="X51" i="6"/>
  <c r="G51" i="7" s="1"/>
  <c r="X59" i="6"/>
  <c r="G59" i="7" s="1"/>
  <c r="X67" i="6"/>
  <c r="G67" i="7" s="1"/>
  <c r="X75" i="6"/>
  <c r="G75" i="7" s="1"/>
  <c r="X83" i="6"/>
  <c r="G83" i="7" s="1"/>
  <c r="X91" i="6"/>
  <c r="G91" i="7" s="1"/>
  <c r="X99" i="6"/>
  <c r="G99" i="7" s="1"/>
  <c r="X107" i="6"/>
  <c r="G107" i="7" s="1"/>
  <c r="X115" i="6"/>
  <c r="G115" i="7" s="1"/>
  <c r="X123" i="6"/>
  <c r="G123" i="7" s="1"/>
  <c r="X128" i="6"/>
  <c r="G128" i="7" s="1"/>
  <c r="X132" i="6"/>
  <c r="G132" i="7" s="1"/>
  <c r="X136" i="6"/>
  <c r="G136" i="7" s="1"/>
  <c r="X140" i="6"/>
  <c r="G140" i="7" s="1"/>
  <c r="X144" i="6"/>
  <c r="G144" i="7" s="1"/>
  <c r="X148" i="6"/>
  <c r="G148" i="7" s="1"/>
  <c r="X152" i="6"/>
  <c r="G152" i="7" s="1"/>
  <c r="X156" i="6"/>
  <c r="G156" i="7" s="1"/>
  <c r="X160" i="6"/>
  <c r="G160" i="7" s="1"/>
  <c r="X164" i="6"/>
  <c r="G164" i="7" s="1"/>
  <c r="X168" i="6"/>
  <c r="G168" i="7" s="1"/>
  <c r="X172" i="6"/>
  <c r="G172" i="7" s="1"/>
  <c r="X176" i="6"/>
  <c r="G176" i="7" s="1"/>
  <c r="X180" i="6"/>
  <c r="G180" i="7" s="1"/>
  <c r="X184" i="6"/>
  <c r="G184" i="7" s="1"/>
  <c r="X188" i="6"/>
  <c r="G188" i="7" s="1"/>
  <c r="X192" i="6"/>
  <c r="G192" i="7" s="1"/>
  <c r="X196" i="6"/>
  <c r="G196" i="7" s="1"/>
  <c r="X200" i="6"/>
  <c r="G200" i="7" s="1"/>
  <c r="X204" i="6"/>
  <c r="G204" i="7" s="1"/>
  <c r="X208" i="6"/>
  <c r="G208" i="7" s="1"/>
  <c r="X212" i="6"/>
  <c r="G212" i="7" s="1"/>
  <c r="X216" i="6"/>
  <c r="G216" i="7" s="1"/>
  <c r="X220" i="6"/>
  <c r="G220" i="7" s="1"/>
  <c r="X224" i="6"/>
  <c r="G224" i="7" s="1"/>
  <c r="X228" i="6"/>
  <c r="G228" i="7" s="1"/>
  <c r="X232" i="6"/>
  <c r="G232" i="7" s="1"/>
  <c r="X236" i="6"/>
  <c r="G236" i="7" s="1"/>
  <c r="X240" i="6"/>
  <c r="G240" i="7" s="1"/>
  <c r="X244" i="6"/>
  <c r="G244" i="7" s="1"/>
  <c r="X248" i="6"/>
  <c r="G248" i="7" s="1"/>
  <c r="X252" i="6"/>
  <c r="G252" i="7" s="1"/>
  <c r="X256" i="6"/>
  <c r="G256" i="7" s="1"/>
  <c r="X260" i="6"/>
  <c r="G260" i="7" s="1"/>
  <c r="X264" i="6"/>
  <c r="G264" i="7" s="1"/>
  <c r="X268" i="6"/>
  <c r="G268" i="7" s="1"/>
  <c r="X272" i="6"/>
  <c r="G272" i="7" s="1"/>
  <c r="X276" i="6"/>
  <c r="G276" i="7" s="1"/>
  <c r="X280" i="6"/>
  <c r="G280" i="7" s="1"/>
  <c r="X284" i="6"/>
  <c r="G284" i="7" s="1"/>
  <c r="X288" i="6"/>
  <c r="G288" i="7" s="1"/>
  <c r="X292" i="6"/>
  <c r="G292" i="7" s="1"/>
  <c r="X296" i="6"/>
  <c r="G296" i="7" s="1"/>
  <c r="X300" i="6"/>
  <c r="G300" i="7" s="1"/>
  <c r="X304" i="6"/>
  <c r="G304" i="7" s="1"/>
  <c r="X308" i="6"/>
  <c r="G308" i="7" s="1"/>
  <c r="X312" i="6"/>
  <c r="G312" i="7" s="1"/>
  <c r="X316" i="6"/>
  <c r="G316" i="7" s="1"/>
  <c r="X4" i="6"/>
  <c r="G4" i="7" s="1"/>
  <c r="X12" i="6"/>
  <c r="G12" i="7" s="1"/>
  <c r="X20" i="6"/>
  <c r="G20" i="7" s="1"/>
  <c r="X28" i="6"/>
  <c r="G28" i="7" s="1"/>
  <c r="X36" i="6"/>
  <c r="G36" i="7" s="1"/>
  <c r="X44" i="6"/>
  <c r="G44" i="7" s="1"/>
  <c r="X52" i="6"/>
  <c r="G52" i="7" s="1"/>
  <c r="X60" i="6"/>
  <c r="G60" i="7" s="1"/>
  <c r="X68" i="6"/>
  <c r="G68" i="7" s="1"/>
  <c r="X76" i="6"/>
  <c r="G76" i="7" s="1"/>
  <c r="X84" i="6"/>
  <c r="G84" i="7" s="1"/>
  <c r="X92" i="6"/>
  <c r="G92" i="7" s="1"/>
  <c r="X100" i="6"/>
  <c r="G100" i="7" s="1"/>
  <c r="X108" i="6"/>
  <c r="G108" i="7" s="1"/>
  <c r="X116" i="6"/>
  <c r="G116" i="7" s="1"/>
  <c r="X124" i="6"/>
  <c r="G124" i="7" s="1"/>
  <c r="X129" i="6"/>
  <c r="G129" i="7" s="1"/>
  <c r="X133" i="6"/>
  <c r="G133" i="7" s="1"/>
  <c r="X137" i="6"/>
  <c r="G137" i="7" s="1"/>
  <c r="X141" i="6"/>
  <c r="G141" i="7" s="1"/>
  <c r="X145" i="6"/>
  <c r="G145" i="7" s="1"/>
  <c r="X149" i="6"/>
  <c r="G149" i="7" s="1"/>
  <c r="X153" i="6"/>
  <c r="G153" i="7" s="1"/>
  <c r="X157" i="6"/>
  <c r="G157" i="7" s="1"/>
  <c r="X161" i="6"/>
  <c r="G161" i="7" s="1"/>
  <c r="X165" i="6"/>
  <c r="G165" i="7" s="1"/>
  <c r="X169" i="6"/>
  <c r="G169" i="7" s="1"/>
  <c r="X173" i="6"/>
  <c r="G173" i="7" s="1"/>
  <c r="X177" i="6"/>
  <c r="G177" i="7" s="1"/>
  <c r="X181" i="6"/>
  <c r="G181" i="7" s="1"/>
  <c r="X185" i="6"/>
  <c r="G185" i="7" s="1"/>
  <c r="X189" i="6"/>
  <c r="G189" i="7" s="1"/>
  <c r="X193" i="6"/>
  <c r="G193" i="7" s="1"/>
  <c r="X197" i="6"/>
  <c r="G197" i="7" s="1"/>
  <c r="X201" i="6"/>
  <c r="G201" i="7" s="1"/>
  <c r="X205" i="6"/>
  <c r="G205" i="7" s="1"/>
  <c r="X209" i="6"/>
  <c r="G209" i="7" s="1"/>
  <c r="X213" i="6"/>
  <c r="G213" i="7" s="1"/>
  <c r="X217" i="6"/>
  <c r="G217" i="7" s="1"/>
  <c r="X221" i="6"/>
  <c r="G221" i="7" s="1"/>
  <c r="X225" i="6"/>
  <c r="G225" i="7" s="1"/>
  <c r="X229" i="6"/>
  <c r="G229" i="7" s="1"/>
  <c r="X233" i="6"/>
  <c r="G233" i="7" s="1"/>
  <c r="X237" i="6"/>
  <c r="G237" i="7" s="1"/>
  <c r="X241" i="6"/>
  <c r="G241" i="7" s="1"/>
  <c r="X245" i="6"/>
  <c r="G245" i="7" s="1"/>
  <c r="X249" i="6"/>
  <c r="G249" i="7" s="1"/>
  <c r="X253" i="6"/>
  <c r="G253" i="7" s="1"/>
  <c r="X257" i="6"/>
  <c r="G257" i="7" s="1"/>
  <c r="X261" i="6"/>
  <c r="G261" i="7" s="1"/>
  <c r="X265" i="6"/>
  <c r="G265" i="7" s="1"/>
  <c r="X269" i="6"/>
  <c r="G269" i="7" s="1"/>
  <c r="X273" i="6"/>
  <c r="G273" i="7" s="1"/>
  <c r="X277" i="6"/>
  <c r="G277" i="7" s="1"/>
  <c r="X281" i="6"/>
  <c r="G281" i="7" s="1"/>
  <c r="X285" i="6"/>
  <c r="G285" i="7" s="1"/>
  <c r="X289" i="6"/>
  <c r="G289" i="7" s="1"/>
  <c r="X293" i="6"/>
  <c r="G293" i="7" s="1"/>
  <c r="X297" i="6"/>
  <c r="G297" i="7" s="1"/>
  <c r="X301" i="6"/>
  <c r="G301" i="7" s="1"/>
  <c r="X305" i="6"/>
  <c r="G305" i="7" s="1"/>
  <c r="X309" i="6"/>
  <c r="G309" i="7" s="1"/>
  <c r="X313" i="6"/>
  <c r="G313" i="7" s="1"/>
  <c r="X317" i="6"/>
  <c r="G317" i="7" s="1"/>
  <c r="X7" i="6"/>
  <c r="G7" i="7" s="1"/>
  <c r="X15" i="6"/>
  <c r="G15" i="7" s="1"/>
  <c r="X23" i="6"/>
  <c r="G23" i="7" s="1"/>
  <c r="X31" i="6"/>
  <c r="G31" i="7" s="1"/>
  <c r="X39" i="6"/>
  <c r="G39" i="7" s="1"/>
  <c r="X47" i="6"/>
  <c r="G47" i="7" s="1"/>
  <c r="X55" i="6"/>
  <c r="G55" i="7" s="1"/>
  <c r="X63" i="6"/>
  <c r="G63" i="7" s="1"/>
  <c r="X71" i="6"/>
  <c r="G71" i="7" s="1"/>
  <c r="X79" i="6"/>
  <c r="G79" i="7" s="1"/>
  <c r="X87" i="6"/>
  <c r="G87" i="7" s="1"/>
  <c r="X95" i="6"/>
  <c r="G95" i="7" s="1"/>
  <c r="X103" i="6"/>
  <c r="G103" i="7" s="1"/>
  <c r="X111" i="6"/>
  <c r="G111" i="7" s="1"/>
  <c r="X119" i="6"/>
  <c r="G119" i="7" s="1"/>
  <c r="X126" i="6"/>
  <c r="G126" i="7" s="1"/>
  <c r="X130" i="6"/>
  <c r="G130" i="7" s="1"/>
  <c r="X134" i="6"/>
  <c r="G134" i="7" s="1"/>
  <c r="X138" i="6"/>
  <c r="G138" i="7" s="1"/>
  <c r="X142" i="6"/>
  <c r="G142" i="7" s="1"/>
  <c r="X146" i="6"/>
  <c r="G146" i="7" s="1"/>
  <c r="X150" i="6"/>
  <c r="G150" i="7" s="1"/>
  <c r="X154" i="6"/>
  <c r="G154" i="7" s="1"/>
  <c r="X158" i="6"/>
  <c r="G158" i="7" s="1"/>
  <c r="X162" i="6"/>
  <c r="G162" i="7" s="1"/>
  <c r="X166" i="6"/>
  <c r="G166" i="7" s="1"/>
  <c r="X170" i="6"/>
  <c r="G170" i="7" s="1"/>
  <c r="X174" i="6"/>
  <c r="G174" i="7" s="1"/>
  <c r="X178" i="6"/>
  <c r="G178" i="7" s="1"/>
  <c r="X182" i="6"/>
  <c r="G182" i="7" s="1"/>
  <c r="X186" i="6"/>
  <c r="G186" i="7" s="1"/>
  <c r="X190" i="6"/>
  <c r="G190" i="7" s="1"/>
  <c r="X194" i="6"/>
  <c r="G194" i="7" s="1"/>
  <c r="X198" i="6"/>
  <c r="G198" i="7" s="1"/>
  <c r="X202" i="6"/>
  <c r="G202" i="7" s="1"/>
  <c r="X206" i="6"/>
  <c r="G206" i="7" s="1"/>
  <c r="X210" i="6"/>
  <c r="G210" i="7" s="1"/>
  <c r="X214" i="6"/>
  <c r="G214" i="7" s="1"/>
  <c r="X218" i="6"/>
  <c r="G218" i="7" s="1"/>
  <c r="X222" i="6"/>
  <c r="G222" i="7" s="1"/>
  <c r="X226" i="6"/>
  <c r="G226" i="7" s="1"/>
  <c r="X230" i="6"/>
  <c r="G230" i="7" s="1"/>
  <c r="X234" i="6"/>
  <c r="G234" i="7" s="1"/>
  <c r="X238" i="6"/>
  <c r="G238" i="7" s="1"/>
  <c r="X242" i="6"/>
  <c r="G242" i="7" s="1"/>
  <c r="X246" i="6"/>
  <c r="G246" i="7" s="1"/>
  <c r="X250" i="6"/>
  <c r="G250" i="7" s="1"/>
  <c r="X254" i="6"/>
  <c r="G254" i="7" s="1"/>
  <c r="X258" i="6"/>
  <c r="G258" i="7" s="1"/>
  <c r="X262" i="6"/>
  <c r="G262" i="7" s="1"/>
  <c r="X266" i="6"/>
  <c r="G266" i="7" s="1"/>
  <c r="X270" i="6"/>
  <c r="G270" i="7" s="1"/>
  <c r="X274" i="6"/>
  <c r="G274" i="7" s="1"/>
  <c r="X278" i="6"/>
  <c r="G278" i="7" s="1"/>
  <c r="X282" i="6"/>
  <c r="G282" i="7" s="1"/>
  <c r="X286" i="6"/>
  <c r="G286" i="7" s="1"/>
  <c r="X290" i="6"/>
  <c r="G290" i="7" s="1"/>
  <c r="X294" i="6"/>
  <c r="G294" i="7" s="1"/>
  <c r="X298" i="6"/>
  <c r="G298" i="7" s="1"/>
  <c r="X302" i="6"/>
  <c r="G302" i="7" s="1"/>
  <c r="X306" i="6"/>
  <c r="G306" i="7" s="1"/>
  <c r="X310" i="6"/>
  <c r="G310" i="7" s="1"/>
  <c r="X314" i="6"/>
  <c r="G314" i="7" s="1"/>
  <c r="X318" i="6"/>
  <c r="X303" i="6"/>
  <c r="G303" i="7" s="1"/>
  <c r="X287" i="6"/>
  <c r="G287" i="7" s="1"/>
  <c r="X271" i="6"/>
  <c r="G271" i="7" s="1"/>
  <c r="X255" i="6"/>
  <c r="G255" i="7" s="1"/>
  <c r="X239" i="6"/>
  <c r="G239" i="7" s="1"/>
  <c r="X223" i="6"/>
  <c r="G223" i="7" s="1"/>
  <c r="X207" i="6"/>
  <c r="G207" i="7" s="1"/>
  <c r="X191" i="6"/>
  <c r="G191" i="7" s="1"/>
  <c r="X175" i="6"/>
  <c r="G175" i="7" s="1"/>
  <c r="X159" i="6"/>
  <c r="G159" i="7" s="1"/>
  <c r="X143" i="6"/>
  <c r="G143" i="7" s="1"/>
  <c r="X127" i="6"/>
  <c r="G127" i="7" s="1"/>
  <c r="X96" i="6"/>
  <c r="G96" i="7" s="1"/>
  <c r="X64" i="6"/>
  <c r="G64" i="7" s="1"/>
  <c r="X32" i="6"/>
  <c r="G32" i="7" s="1"/>
  <c r="H318" i="6"/>
  <c r="H314" i="6"/>
  <c r="C314" i="7" s="1"/>
  <c r="H310" i="6"/>
  <c r="C310" i="7" s="1"/>
  <c r="H306" i="6"/>
  <c r="C306" i="7" s="1"/>
  <c r="H302" i="6"/>
  <c r="C302" i="7" s="1"/>
  <c r="H298" i="6"/>
  <c r="C298" i="7" s="1"/>
  <c r="H294" i="6"/>
  <c r="C294" i="7" s="1"/>
  <c r="H290" i="6"/>
  <c r="C290" i="7" s="1"/>
  <c r="H286" i="6"/>
  <c r="C286" i="7" s="1"/>
  <c r="H282" i="6"/>
  <c r="C282" i="7" s="1"/>
  <c r="H278" i="6"/>
  <c r="C278" i="7" s="1"/>
  <c r="H274" i="6"/>
  <c r="C274" i="7" s="1"/>
  <c r="H270" i="6"/>
  <c r="C270" i="7" s="1"/>
  <c r="H266" i="6"/>
  <c r="C266" i="7" s="1"/>
  <c r="H262" i="6"/>
  <c r="C262" i="7" s="1"/>
  <c r="H258" i="6"/>
  <c r="C258" i="7" s="1"/>
  <c r="H254" i="6"/>
  <c r="C254" i="7" s="1"/>
  <c r="H250" i="6"/>
  <c r="C250" i="7" s="1"/>
  <c r="H246" i="6"/>
  <c r="C246" i="7" s="1"/>
  <c r="H242" i="6"/>
  <c r="C242" i="7" s="1"/>
  <c r="H238" i="6"/>
  <c r="C238" i="7" s="1"/>
  <c r="H234" i="6"/>
  <c r="C234" i="7" s="1"/>
  <c r="H230" i="6"/>
  <c r="C230" i="7" s="1"/>
  <c r="H226" i="6"/>
  <c r="C226" i="7" s="1"/>
  <c r="H222" i="6"/>
  <c r="C222" i="7" s="1"/>
  <c r="H218" i="6"/>
  <c r="C218" i="7" s="1"/>
  <c r="H214" i="6"/>
  <c r="C214" i="7" s="1"/>
  <c r="H210" i="6"/>
  <c r="C210" i="7" s="1"/>
  <c r="H206" i="6"/>
  <c r="C206" i="7" s="1"/>
  <c r="H202" i="6"/>
  <c r="C202" i="7" s="1"/>
  <c r="H198" i="6"/>
  <c r="C198" i="7" s="1"/>
  <c r="H194" i="6"/>
  <c r="C194" i="7" s="1"/>
  <c r="H190" i="6"/>
  <c r="C190" i="7" s="1"/>
  <c r="H186" i="6"/>
  <c r="C186" i="7" s="1"/>
  <c r="H182" i="6"/>
  <c r="C182" i="7" s="1"/>
  <c r="H178" i="6"/>
  <c r="C178" i="7" s="1"/>
  <c r="H174" i="6"/>
  <c r="C174" i="7" s="1"/>
  <c r="H170" i="6"/>
  <c r="C170" i="7" s="1"/>
  <c r="H166" i="6"/>
  <c r="C166" i="7" s="1"/>
  <c r="H162" i="6"/>
  <c r="C162" i="7" s="1"/>
  <c r="H158" i="6"/>
  <c r="C158" i="7" s="1"/>
  <c r="H154" i="6"/>
  <c r="C154" i="7" s="1"/>
  <c r="H150" i="6"/>
  <c r="C150" i="7" s="1"/>
  <c r="H146" i="6"/>
  <c r="C146" i="7" s="1"/>
  <c r="H142" i="6"/>
  <c r="C142" i="7" s="1"/>
  <c r="H138" i="6"/>
  <c r="C138" i="7" s="1"/>
  <c r="H134" i="6"/>
  <c r="C134" i="7" s="1"/>
  <c r="H130" i="6"/>
  <c r="C130" i="7" s="1"/>
  <c r="H126" i="6"/>
  <c r="C126" i="7" s="1"/>
  <c r="H122" i="6"/>
  <c r="C122" i="7" s="1"/>
  <c r="H118" i="6"/>
  <c r="C118" i="7" s="1"/>
  <c r="H114" i="6"/>
  <c r="C114" i="7" s="1"/>
  <c r="H110" i="6"/>
  <c r="C110" i="7" s="1"/>
  <c r="H106" i="6"/>
  <c r="C106" i="7" s="1"/>
  <c r="H102" i="6"/>
  <c r="C102" i="7" s="1"/>
  <c r="H98" i="6"/>
  <c r="C98" i="7" s="1"/>
  <c r="H94" i="6"/>
  <c r="C94" i="7" s="1"/>
  <c r="H90" i="6"/>
  <c r="C90" i="7" s="1"/>
  <c r="H86" i="6"/>
  <c r="C86" i="7" s="1"/>
  <c r="H82" i="6"/>
  <c r="C82" i="7" s="1"/>
  <c r="H78" i="6"/>
  <c r="C78" i="7" s="1"/>
  <c r="H74" i="6"/>
  <c r="C74" i="7" s="1"/>
  <c r="H70" i="6"/>
  <c r="C70" i="7" s="1"/>
  <c r="H66" i="6"/>
  <c r="C66" i="7" s="1"/>
  <c r="H62" i="6"/>
  <c r="C62" i="7" s="1"/>
  <c r="H58" i="6"/>
  <c r="C58" i="7" s="1"/>
  <c r="H54" i="6"/>
  <c r="C54" i="7" s="1"/>
  <c r="H50" i="6"/>
  <c r="C50" i="7" s="1"/>
  <c r="H46" i="6"/>
  <c r="C46" i="7" s="1"/>
  <c r="H42" i="6"/>
  <c r="C42" i="7" s="1"/>
  <c r="H38" i="6"/>
  <c r="C38" i="7" s="1"/>
  <c r="H34" i="6"/>
  <c r="C34" i="7" s="1"/>
  <c r="H30" i="6"/>
  <c r="C30" i="7" s="1"/>
  <c r="H26" i="6"/>
  <c r="C26" i="7" s="1"/>
  <c r="H22" i="6"/>
  <c r="C22" i="7" s="1"/>
  <c r="H18" i="6"/>
  <c r="C18" i="7" s="1"/>
  <c r="H14" i="6"/>
  <c r="C14" i="7" s="1"/>
  <c r="H10" i="6"/>
  <c r="C10" i="7" s="1"/>
  <c r="H6" i="6"/>
  <c r="C6" i="7" s="1"/>
  <c r="L268" i="6"/>
  <c r="D268" i="7" s="1"/>
  <c r="L263" i="6"/>
  <c r="D263" i="7" s="1"/>
  <c r="L258" i="6"/>
  <c r="D258" i="7" s="1"/>
  <c r="L252" i="6"/>
  <c r="D252" i="7" s="1"/>
  <c r="L247" i="6"/>
  <c r="D247" i="7" s="1"/>
  <c r="L242" i="6"/>
  <c r="D242" i="7" s="1"/>
  <c r="L236" i="6"/>
  <c r="D236" i="7" s="1"/>
  <c r="L231" i="6"/>
  <c r="D231" i="7" s="1"/>
  <c r="L226" i="6"/>
  <c r="D226" i="7" s="1"/>
  <c r="L220" i="6"/>
  <c r="D220" i="7" s="1"/>
  <c r="L215" i="6"/>
  <c r="D215" i="7" s="1"/>
  <c r="L210" i="6"/>
  <c r="D210" i="7" s="1"/>
  <c r="L204" i="6"/>
  <c r="D204" i="7" s="1"/>
  <c r="L199" i="6"/>
  <c r="D199" i="7" s="1"/>
  <c r="L194" i="6"/>
  <c r="D194" i="7" s="1"/>
  <c r="L188" i="6"/>
  <c r="D188" i="7" s="1"/>
  <c r="L183" i="6"/>
  <c r="D183" i="7" s="1"/>
  <c r="L178" i="6"/>
  <c r="D178" i="7" s="1"/>
  <c r="L172" i="6"/>
  <c r="D172" i="7" s="1"/>
  <c r="L167" i="6"/>
  <c r="D167" i="7" s="1"/>
  <c r="L162" i="6"/>
  <c r="D162" i="7" s="1"/>
  <c r="L155" i="6"/>
  <c r="D155" i="7" s="1"/>
  <c r="L148" i="6"/>
  <c r="D148" i="7" s="1"/>
  <c r="L142" i="6"/>
  <c r="D142" i="7" s="1"/>
  <c r="L134" i="6"/>
  <c r="D134" i="7" s="1"/>
  <c r="L126" i="6"/>
  <c r="D126" i="7" s="1"/>
  <c r="L116" i="6"/>
  <c r="D116" i="7" s="1"/>
  <c r="L104" i="6"/>
  <c r="D104" i="7" s="1"/>
  <c r="L94" i="6"/>
  <c r="D94" i="7" s="1"/>
  <c r="L84" i="6"/>
  <c r="D84" i="7" s="1"/>
  <c r="L72" i="6"/>
  <c r="D72" i="7" s="1"/>
  <c r="L62" i="6"/>
  <c r="D62" i="7" s="1"/>
  <c r="L52" i="6"/>
  <c r="D52" i="7" s="1"/>
  <c r="L40" i="6"/>
  <c r="D40" i="7" s="1"/>
  <c r="L30" i="6"/>
  <c r="D30" i="7" s="1"/>
  <c r="T313" i="6"/>
  <c r="F313" i="7" s="1"/>
  <c r="T297" i="6"/>
  <c r="F297" i="7" s="1"/>
  <c r="T281" i="6"/>
  <c r="F281" i="7" s="1"/>
  <c r="T262" i="6"/>
  <c r="F262" i="7" s="1"/>
  <c r="T230" i="6"/>
  <c r="F230" i="7" s="1"/>
  <c r="T198" i="6"/>
  <c r="F198" i="7" s="1"/>
  <c r="T166" i="6"/>
  <c r="F166" i="7" s="1"/>
  <c r="T134" i="6"/>
  <c r="F134" i="7" s="1"/>
  <c r="T102" i="6"/>
  <c r="F102" i="7" s="1"/>
  <c r="T52" i="6"/>
  <c r="F52" i="7" s="1"/>
  <c r="X315" i="6"/>
  <c r="G315" i="7" s="1"/>
  <c r="X299" i="6"/>
  <c r="G299" i="7" s="1"/>
  <c r="X283" i="6"/>
  <c r="G283" i="7" s="1"/>
  <c r="X267" i="6"/>
  <c r="G267" i="7" s="1"/>
  <c r="X251" i="6"/>
  <c r="G251" i="7" s="1"/>
  <c r="X235" i="6"/>
  <c r="G235" i="7" s="1"/>
  <c r="X219" i="6"/>
  <c r="G219" i="7" s="1"/>
  <c r="X203" i="6"/>
  <c r="G203" i="7" s="1"/>
  <c r="X187" i="6"/>
  <c r="G187" i="7" s="1"/>
  <c r="X171" i="6"/>
  <c r="G171" i="7" s="1"/>
  <c r="X155" i="6"/>
  <c r="G155" i="7" s="1"/>
  <c r="X139" i="6"/>
  <c r="G139" i="7" s="1"/>
  <c r="X120" i="6"/>
  <c r="G120" i="7" s="1"/>
  <c r="X88" i="6"/>
  <c r="G88" i="7" s="1"/>
  <c r="X56" i="6"/>
  <c r="G56" i="7" s="1"/>
  <c r="X24" i="6"/>
  <c r="G24" i="7" s="1"/>
  <c r="T301" i="6"/>
  <c r="F301" i="7" s="1"/>
  <c r="T269" i="6"/>
  <c r="F269" i="7" s="1"/>
  <c r="T174" i="6"/>
  <c r="F174" i="7" s="1"/>
  <c r="T68" i="6"/>
  <c r="F68" i="7" s="1"/>
  <c r="H317" i="6"/>
  <c r="C317" i="7" s="1"/>
  <c r="H309" i="6"/>
  <c r="C309" i="7" s="1"/>
  <c r="H301" i="6"/>
  <c r="C301" i="7" s="1"/>
  <c r="H293" i="6"/>
  <c r="C293" i="7" s="1"/>
  <c r="H281" i="6"/>
  <c r="C281" i="7" s="1"/>
  <c r="H273" i="6"/>
  <c r="C273" i="7" s="1"/>
  <c r="H265" i="6"/>
  <c r="C265" i="7" s="1"/>
  <c r="H253" i="6"/>
  <c r="C253" i="7" s="1"/>
  <c r="H241" i="6"/>
  <c r="C241" i="7" s="1"/>
  <c r="H233" i="6"/>
  <c r="C233" i="7" s="1"/>
  <c r="H225" i="6"/>
  <c r="C225" i="7" s="1"/>
  <c r="H217" i="6"/>
  <c r="C217" i="7" s="1"/>
  <c r="H209" i="6"/>
  <c r="C209" i="7" s="1"/>
  <c r="H197" i="6"/>
  <c r="C197" i="7" s="1"/>
  <c r="H189" i="6"/>
  <c r="C189" i="7" s="1"/>
  <c r="H181" i="6"/>
  <c r="C181" i="7" s="1"/>
  <c r="H173" i="6"/>
  <c r="C173" i="7" s="1"/>
  <c r="H165" i="6"/>
  <c r="C165" i="7" s="1"/>
  <c r="H157" i="6"/>
  <c r="C157" i="7" s="1"/>
  <c r="H149" i="6"/>
  <c r="C149" i="7" s="1"/>
  <c r="H141" i="6"/>
  <c r="C141" i="7" s="1"/>
  <c r="H133" i="6"/>
  <c r="C133" i="7" s="1"/>
  <c r="H121" i="6"/>
  <c r="C121" i="7" s="1"/>
  <c r="H113" i="6"/>
  <c r="C113" i="7" s="1"/>
  <c r="H105" i="6"/>
  <c r="C105" i="7" s="1"/>
  <c r="H97" i="6"/>
  <c r="C97" i="7" s="1"/>
  <c r="H85" i="6"/>
  <c r="C85" i="7" s="1"/>
  <c r="H73" i="6"/>
  <c r="C73" i="7" s="1"/>
  <c r="H65" i="6"/>
  <c r="C65" i="7" s="1"/>
  <c r="H57" i="6"/>
  <c r="C57" i="7" s="1"/>
  <c r="H49" i="6"/>
  <c r="C49" i="7" s="1"/>
  <c r="H37" i="6"/>
  <c r="C37" i="7" s="1"/>
  <c r="H29" i="6"/>
  <c r="C29" i="7" s="1"/>
  <c r="H17" i="6"/>
  <c r="C17" i="7" s="1"/>
  <c r="H5" i="6"/>
  <c r="C5" i="7" s="1"/>
  <c r="L5" i="6"/>
  <c r="D5" i="7" s="1"/>
  <c r="L8" i="6"/>
  <c r="D8" i="7" s="1"/>
  <c r="L24" i="6"/>
  <c r="D24" i="7" s="1"/>
  <c r="L34" i="6"/>
  <c r="D34" i="7" s="1"/>
  <c r="L42" i="6"/>
  <c r="D42" i="7" s="1"/>
  <c r="L50" i="6"/>
  <c r="D50" i="7" s="1"/>
  <c r="L58" i="6"/>
  <c r="D58" i="7" s="1"/>
  <c r="L66" i="6"/>
  <c r="D66" i="7" s="1"/>
  <c r="L74" i="6"/>
  <c r="D74" i="7" s="1"/>
  <c r="L82" i="6"/>
  <c r="D82" i="7" s="1"/>
  <c r="L90" i="6"/>
  <c r="D90" i="7" s="1"/>
  <c r="L98" i="6"/>
  <c r="D98" i="7" s="1"/>
  <c r="L106" i="6"/>
  <c r="D106" i="7" s="1"/>
  <c r="L114" i="6"/>
  <c r="D114" i="7" s="1"/>
  <c r="L122" i="6"/>
  <c r="D122" i="7" s="1"/>
  <c r="L130" i="6"/>
  <c r="D130" i="7" s="1"/>
  <c r="L135" i="6"/>
  <c r="D135" i="7" s="1"/>
  <c r="L140" i="6"/>
  <c r="D140" i="7" s="1"/>
  <c r="L146" i="6"/>
  <c r="D146" i="7" s="1"/>
  <c r="L151" i="6"/>
  <c r="D151" i="7" s="1"/>
  <c r="L156" i="6"/>
  <c r="D156" i="7" s="1"/>
  <c r="L161" i="6"/>
  <c r="D161" i="7" s="1"/>
  <c r="L165" i="6"/>
  <c r="D165" i="7" s="1"/>
  <c r="L169" i="6"/>
  <c r="D169" i="7" s="1"/>
  <c r="L173" i="6"/>
  <c r="D173" i="7" s="1"/>
  <c r="L177" i="6"/>
  <c r="D177" i="7" s="1"/>
  <c r="L181" i="6"/>
  <c r="D181" i="7" s="1"/>
  <c r="L185" i="6"/>
  <c r="D185" i="7" s="1"/>
  <c r="L189" i="6"/>
  <c r="D189" i="7" s="1"/>
  <c r="L193" i="6"/>
  <c r="D193" i="7" s="1"/>
  <c r="L197" i="6"/>
  <c r="D197" i="7" s="1"/>
  <c r="L201" i="6"/>
  <c r="D201" i="7" s="1"/>
  <c r="L205" i="6"/>
  <c r="D205" i="7" s="1"/>
  <c r="L209" i="6"/>
  <c r="D209" i="7" s="1"/>
  <c r="L213" i="6"/>
  <c r="D213" i="7" s="1"/>
  <c r="L217" i="6"/>
  <c r="D217" i="7" s="1"/>
  <c r="L221" i="6"/>
  <c r="D221" i="7" s="1"/>
  <c r="L225" i="6"/>
  <c r="D225" i="7" s="1"/>
  <c r="L229" i="6"/>
  <c r="D229" i="7" s="1"/>
  <c r="L233" i="6"/>
  <c r="D233" i="7" s="1"/>
  <c r="L237" i="6"/>
  <c r="D237" i="7" s="1"/>
  <c r="L241" i="6"/>
  <c r="D241" i="7" s="1"/>
  <c r="L245" i="6"/>
  <c r="D245" i="7" s="1"/>
  <c r="L249" i="6"/>
  <c r="D249" i="7" s="1"/>
  <c r="L253" i="6"/>
  <c r="D253" i="7" s="1"/>
  <c r="L257" i="6"/>
  <c r="D257" i="7" s="1"/>
  <c r="L261" i="6"/>
  <c r="D261" i="7" s="1"/>
  <c r="L265" i="6"/>
  <c r="D265" i="7" s="1"/>
  <c r="L269" i="6"/>
  <c r="D269" i="7" s="1"/>
  <c r="L273" i="6"/>
  <c r="D273" i="7" s="1"/>
  <c r="L277" i="6"/>
  <c r="D277" i="7" s="1"/>
  <c r="L281" i="6"/>
  <c r="D281" i="7" s="1"/>
  <c r="L285" i="6"/>
  <c r="D285" i="7" s="1"/>
  <c r="L289" i="6"/>
  <c r="D289" i="7" s="1"/>
  <c r="L293" i="6"/>
  <c r="D293" i="7" s="1"/>
  <c r="L297" i="6"/>
  <c r="D297" i="7" s="1"/>
  <c r="L301" i="6"/>
  <c r="D301" i="7" s="1"/>
  <c r="L305" i="6"/>
  <c r="D305" i="7" s="1"/>
  <c r="L309" i="6"/>
  <c r="D309" i="7" s="1"/>
  <c r="L313" i="6"/>
  <c r="D313" i="7" s="1"/>
  <c r="L317" i="6"/>
  <c r="D317" i="7" s="1"/>
  <c r="P7" i="6"/>
  <c r="E7" i="7" s="1"/>
  <c r="P11" i="6"/>
  <c r="E11" i="7" s="1"/>
  <c r="P15" i="6"/>
  <c r="E15" i="7" s="1"/>
  <c r="P19" i="6"/>
  <c r="E19" i="7" s="1"/>
  <c r="P23" i="6"/>
  <c r="E23" i="7" s="1"/>
  <c r="P27" i="6"/>
  <c r="E27" i="7" s="1"/>
  <c r="P31" i="6"/>
  <c r="E31" i="7" s="1"/>
  <c r="P35" i="6"/>
  <c r="E35" i="7" s="1"/>
  <c r="P39" i="6"/>
  <c r="E39" i="7" s="1"/>
  <c r="P43" i="6"/>
  <c r="E43" i="7" s="1"/>
  <c r="P47" i="6"/>
  <c r="E47" i="7" s="1"/>
  <c r="P51" i="6"/>
  <c r="E51" i="7" s="1"/>
  <c r="P55" i="6"/>
  <c r="E55" i="7" s="1"/>
  <c r="P59" i="6"/>
  <c r="E59" i="7" s="1"/>
  <c r="P63" i="6"/>
  <c r="E63" i="7" s="1"/>
  <c r="P67" i="6"/>
  <c r="E67" i="7" s="1"/>
  <c r="P71" i="6"/>
  <c r="E71" i="7" s="1"/>
  <c r="P75" i="6"/>
  <c r="E75" i="7" s="1"/>
  <c r="P79" i="6"/>
  <c r="E79" i="7" s="1"/>
  <c r="P83" i="6"/>
  <c r="E83" i="7" s="1"/>
  <c r="P87" i="6"/>
  <c r="E87" i="7" s="1"/>
  <c r="P91" i="6"/>
  <c r="E91" i="7" s="1"/>
  <c r="P95" i="6"/>
  <c r="E95" i="7" s="1"/>
  <c r="P99" i="6"/>
  <c r="E99" i="7" s="1"/>
  <c r="P103" i="6"/>
  <c r="E103" i="7" s="1"/>
  <c r="P107" i="6"/>
  <c r="E107" i="7" s="1"/>
  <c r="P111" i="6"/>
  <c r="E111" i="7" s="1"/>
  <c r="P115" i="6"/>
  <c r="E115" i="7" s="1"/>
  <c r="P119" i="6"/>
  <c r="E119" i="7" s="1"/>
  <c r="P123" i="6"/>
  <c r="E123" i="7" s="1"/>
  <c r="P127" i="6"/>
  <c r="E127" i="7" s="1"/>
  <c r="P4" i="6"/>
  <c r="E4" i="7" s="1"/>
  <c r="P8" i="6"/>
  <c r="E8" i="7" s="1"/>
  <c r="P12" i="6"/>
  <c r="E12" i="7" s="1"/>
  <c r="P16" i="6"/>
  <c r="E16" i="7" s="1"/>
  <c r="P20" i="6"/>
  <c r="E20" i="7" s="1"/>
  <c r="P24" i="6"/>
  <c r="E24" i="7" s="1"/>
  <c r="P28" i="6"/>
  <c r="E28" i="7" s="1"/>
  <c r="P32" i="6"/>
  <c r="E32" i="7" s="1"/>
  <c r="P36" i="6"/>
  <c r="E36" i="7" s="1"/>
  <c r="P40" i="6"/>
  <c r="E40" i="7" s="1"/>
  <c r="P44" i="6"/>
  <c r="E44" i="7" s="1"/>
  <c r="P48" i="6"/>
  <c r="E48" i="7" s="1"/>
  <c r="P52" i="6"/>
  <c r="E52" i="7" s="1"/>
  <c r="P56" i="6"/>
  <c r="E56" i="7" s="1"/>
  <c r="P60" i="6"/>
  <c r="E60" i="7" s="1"/>
  <c r="P64" i="6"/>
  <c r="E64" i="7" s="1"/>
  <c r="P68" i="6"/>
  <c r="E68" i="7" s="1"/>
  <c r="P72" i="6"/>
  <c r="E72" i="7" s="1"/>
  <c r="P76" i="6"/>
  <c r="E76" i="7" s="1"/>
  <c r="P80" i="6"/>
  <c r="E80" i="7" s="1"/>
  <c r="P84" i="6"/>
  <c r="E84" i="7" s="1"/>
  <c r="P88" i="6"/>
  <c r="E88" i="7" s="1"/>
  <c r="P92" i="6"/>
  <c r="E92" i="7" s="1"/>
  <c r="P96" i="6"/>
  <c r="E96" i="7" s="1"/>
  <c r="P100" i="6"/>
  <c r="E100" i="7" s="1"/>
  <c r="P104" i="6"/>
  <c r="E104" i="7" s="1"/>
  <c r="P108" i="6"/>
  <c r="E108" i="7" s="1"/>
  <c r="P112" i="6"/>
  <c r="E112" i="7" s="1"/>
  <c r="P116" i="6"/>
  <c r="E116" i="7" s="1"/>
  <c r="P120" i="6"/>
  <c r="E120" i="7" s="1"/>
  <c r="P124" i="6"/>
  <c r="E124" i="7" s="1"/>
  <c r="P128" i="6"/>
  <c r="E128" i="7" s="1"/>
  <c r="P132" i="6"/>
  <c r="E132" i="7" s="1"/>
  <c r="P136" i="6"/>
  <c r="E136" i="7" s="1"/>
  <c r="P140" i="6"/>
  <c r="E140" i="7" s="1"/>
  <c r="P144" i="6"/>
  <c r="E144" i="7" s="1"/>
  <c r="P148" i="6"/>
  <c r="E148" i="7" s="1"/>
  <c r="P152" i="6"/>
  <c r="E152" i="7" s="1"/>
  <c r="P156" i="6"/>
  <c r="E156" i="7" s="1"/>
  <c r="P160" i="6"/>
  <c r="E160" i="7" s="1"/>
  <c r="P164" i="6"/>
  <c r="E164" i="7" s="1"/>
  <c r="P168" i="6"/>
  <c r="E168" i="7" s="1"/>
  <c r="P172" i="6"/>
  <c r="E172" i="7" s="1"/>
  <c r="P176" i="6"/>
  <c r="E176" i="7" s="1"/>
  <c r="P180" i="6"/>
  <c r="E180" i="7" s="1"/>
  <c r="P184" i="6"/>
  <c r="E184" i="7" s="1"/>
  <c r="P188" i="6"/>
  <c r="E188" i="7" s="1"/>
  <c r="P192" i="6"/>
  <c r="E192" i="7" s="1"/>
  <c r="P196" i="6"/>
  <c r="E196" i="7" s="1"/>
  <c r="P200" i="6"/>
  <c r="E200" i="7" s="1"/>
  <c r="P204" i="6"/>
  <c r="E204" i="7" s="1"/>
  <c r="P208" i="6"/>
  <c r="E208" i="7" s="1"/>
  <c r="P212" i="6"/>
  <c r="E212" i="7" s="1"/>
  <c r="P216" i="6"/>
  <c r="E216" i="7" s="1"/>
  <c r="P220" i="6"/>
  <c r="E220" i="7" s="1"/>
  <c r="P224" i="6"/>
  <c r="E224" i="7" s="1"/>
  <c r="P228" i="6"/>
  <c r="E228" i="7" s="1"/>
  <c r="P232" i="6"/>
  <c r="E232" i="7" s="1"/>
  <c r="P236" i="6"/>
  <c r="E236" i="7" s="1"/>
  <c r="P240" i="6"/>
  <c r="E240" i="7" s="1"/>
  <c r="P244" i="6"/>
  <c r="E244" i="7" s="1"/>
  <c r="P248" i="6"/>
  <c r="E248" i="7" s="1"/>
  <c r="P252" i="6"/>
  <c r="E252" i="7" s="1"/>
  <c r="P256" i="6"/>
  <c r="E256" i="7" s="1"/>
  <c r="P260" i="6"/>
  <c r="E260" i="7" s="1"/>
  <c r="P264" i="6"/>
  <c r="E264" i="7" s="1"/>
  <c r="P268" i="6"/>
  <c r="E268" i="7" s="1"/>
  <c r="P272" i="6"/>
  <c r="E272" i="7" s="1"/>
  <c r="P276" i="6"/>
  <c r="E276" i="7" s="1"/>
  <c r="P280" i="6"/>
  <c r="E280" i="7" s="1"/>
  <c r="P284" i="6"/>
  <c r="E284" i="7" s="1"/>
  <c r="P288" i="6"/>
  <c r="E288" i="7" s="1"/>
  <c r="P292" i="6"/>
  <c r="E292" i="7" s="1"/>
  <c r="P296" i="6"/>
  <c r="E296" i="7" s="1"/>
  <c r="P300" i="6"/>
  <c r="E300" i="7" s="1"/>
  <c r="P304" i="6"/>
  <c r="E304" i="7" s="1"/>
  <c r="P308" i="6"/>
  <c r="E308" i="7" s="1"/>
  <c r="P312" i="6"/>
  <c r="E312" i="7" s="1"/>
  <c r="P316" i="6"/>
  <c r="E316" i="7" s="1"/>
  <c r="P5" i="6"/>
  <c r="E5" i="7" s="1"/>
  <c r="P9" i="6"/>
  <c r="E9" i="7" s="1"/>
  <c r="P13" i="6"/>
  <c r="E13" i="7" s="1"/>
  <c r="P17" i="6"/>
  <c r="E17" i="7" s="1"/>
  <c r="P21" i="6"/>
  <c r="E21" i="7" s="1"/>
  <c r="P25" i="6"/>
  <c r="E25" i="7" s="1"/>
  <c r="P29" i="6"/>
  <c r="E29" i="7" s="1"/>
  <c r="P33" i="6"/>
  <c r="E33" i="7" s="1"/>
  <c r="P37" i="6"/>
  <c r="E37" i="7" s="1"/>
  <c r="P41" i="6"/>
  <c r="E41" i="7" s="1"/>
  <c r="P45" i="6"/>
  <c r="E45" i="7" s="1"/>
  <c r="P49" i="6"/>
  <c r="E49" i="7" s="1"/>
  <c r="P53" i="6"/>
  <c r="E53" i="7" s="1"/>
  <c r="P57" i="6"/>
  <c r="E57" i="7" s="1"/>
  <c r="P61" i="6"/>
  <c r="E61" i="7" s="1"/>
  <c r="P65" i="6"/>
  <c r="E65" i="7" s="1"/>
  <c r="P69" i="6"/>
  <c r="E69" i="7" s="1"/>
  <c r="P73" i="6"/>
  <c r="E73" i="7" s="1"/>
  <c r="P77" i="6"/>
  <c r="E77" i="7" s="1"/>
  <c r="P81" i="6"/>
  <c r="E81" i="7" s="1"/>
  <c r="P85" i="6"/>
  <c r="E85" i="7" s="1"/>
  <c r="P89" i="6"/>
  <c r="E89" i="7" s="1"/>
  <c r="P93" i="6"/>
  <c r="E93" i="7" s="1"/>
  <c r="P97" i="6"/>
  <c r="E97" i="7" s="1"/>
  <c r="P101" i="6"/>
  <c r="E101" i="7" s="1"/>
  <c r="P105" i="6"/>
  <c r="E105" i="7" s="1"/>
  <c r="P109" i="6"/>
  <c r="E109" i="7" s="1"/>
  <c r="P113" i="6"/>
  <c r="E113" i="7" s="1"/>
  <c r="P117" i="6"/>
  <c r="E117" i="7" s="1"/>
  <c r="P121" i="6"/>
  <c r="E121" i="7" s="1"/>
  <c r="P125" i="6"/>
  <c r="E125" i="7" s="1"/>
  <c r="P129" i="6"/>
  <c r="E129" i="7" s="1"/>
  <c r="P133" i="6"/>
  <c r="E133" i="7" s="1"/>
  <c r="P137" i="6"/>
  <c r="E137" i="7" s="1"/>
  <c r="P141" i="6"/>
  <c r="E141" i="7" s="1"/>
  <c r="P145" i="6"/>
  <c r="E145" i="7" s="1"/>
  <c r="P149" i="6"/>
  <c r="E149" i="7" s="1"/>
  <c r="P153" i="6"/>
  <c r="E153" i="7" s="1"/>
  <c r="P157" i="6"/>
  <c r="E157" i="7" s="1"/>
  <c r="P161" i="6"/>
  <c r="E161" i="7" s="1"/>
  <c r="P165" i="6"/>
  <c r="E165" i="7" s="1"/>
  <c r="P169" i="6"/>
  <c r="E169" i="7" s="1"/>
  <c r="P173" i="6"/>
  <c r="E173" i="7" s="1"/>
  <c r="P177" i="6"/>
  <c r="E177" i="7" s="1"/>
  <c r="P181" i="6"/>
  <c r="E181" i="7" s="1"/>
  <c r="P185" i="6"/>
  <c r="E185" i="7" s="1"/>
  <c r="P189" i="6"/>
  <c r="E189" i="7" s="1"/>
  <c r="P193" i="6"/>
  <c r="E193" i="7" s="1"/>
  <c r="P197" i="6"/>
  <c r="E197" i="7" s="1"/>
  <c r="P201" i="6"/>
  <c r="E201" i="7" s="1"/>
  <c r="P205" i="6"/>
  <c r="E205" i="7" s="1"/>
  <c r="P209" i="6"/>
  <c r="E209" i="7" s="1"/>
  <c r="P213" i="6"/>
  <c r="E213" i="7" s="1"/>
  <c r="P217" i="6"/>
  <c r="E217" i="7" s="1"/>
  <c r="P221" i="6"/>
  <c r="E221" i="7" s="1"/>
  <c r="P225" i="6"/>
  <c r="E225" i="7" s="1"/>
  <c r="P229" i="6"/>
  <c r="E229" i="7" s="1"/>
  <c r="P233" i="6"/>
  <c r="E233" i="7" s="1"/>
  <c r="P237" i="6"/>
  <c r="E237" i="7" s="1"/>
  <c r="P241" i="6"/>
  <c r="E241" i="7" s="1"/>
  <c r="P245" i="6"/>
  <c r="E245" i="7" s="1"/>
  <c r="P249" i="6"/>
  <c r="E249" i="7" s="1"/>
  <c r="P253" i="6"/>
  <c r="E253" i="7" s="1"/>
  <c r="P257" i="6"/>
  <c r="E257" i="7" s="1"/>
  <c r="P261" i="6"/>
  <c r="E261" i="7" s="1"/>
  <c r="P265" i="6"/>
  <c r="E265" i="7" s="1"/>
  <c r="P269" i="6"/>
  <c r="E269" i="7" s="1"/>
  <c r="P273" i="6"/>
  <c r="E273" i="7" s="1"/>
  <c r="P277" i="6"/>
  <c r="E277" i="7" s="1"/>
  <c r="P281" i="6"/>
  <c r="E281" i="7" s="1"/>
  <c r="P285" i="6"/>
  <c r="E285" i="7" s="1"/>
  <c r="P289" i="6"/>
  <c r="E289" i="7" s="1"/>
  <c r="P293" i="6"/>
  <c r="E293" i="7" s="1"/>
  <c r="P297" i="6"/>
  <c r="E297" i="7" s="1"/>
  <c r="P301" i="6"/>
  <c r="E301" i="7" s="1"/>
  <c r="P305" i="6"/>
  <c r="E305" i="7" s="1"/>
  <c r="P309" i="6"/>
  <c r="E309" i="7" s="1"/>
  <c r="P313" i="6"/>
  <c r="E313" i="7" s="1"/>
  <c r="P317" i="6"/>
  <c r="E317" i="7" s="1"/>
  <c r="P311" i="6"/>
  <c r="E311" i="7" s="1"/>
  <c r="P303" i="6"/>
  <c r="E303" i="7" s="1"/>
  <c r="P295" i="6"/>
  <c r="E295" i="7" s="1"/>
  <c r="P287" i="6"/>
  <c r="E287" i="7" s="1"/>
  <c r="P279" i="6"/>
  <c r="E279" i="7" s="1"/>
  <c r="P271" i="6"/>
  <c r="E271" i="7" s="1"/>
  <c r="P263" i="6"/>
  <c r="E263" i="7" s="1"/>
  <c r="P255" i="6"/>
  <c r="E255" i="7" s="1"/>
  <c r="P247" i="6"/>
  <c r="E247" i="7" s="1"/>
  <c r="P239" i="6"/>
  <c r="E239" i="7" s="1"/>
  <c r="P231" i="6"/>
  <c r="E231" i="7" s="1"/>
  <c r="P223" i="6"/>
  <c r="E223" i="7" s="1"/>
  <c r="P215" i="6"/>
  <c r="E215" i="7" s="1"/>
  <c r="P207" i="6"/>
  <c r="E207" i="7" s="1"/>
  <c r="P199" i="6"/>
  <c r="E199" i="7" s="1"/>
  <c r="P191" i="6"/>
  <c r="E191" i="7" s="1"/>
  <c r="P183" i="6"/>
  <c r="E183" i="7" s="1"/>
  <c r="P175" i="6"/>
  <c r="E175" i="7" s="1"/>
  <c r="P167" i="6"/>
  <c r="E167" i="7" s="1"/>
  <c r="P159" i="6"/>
  <c r="E159" i="7" s="1"/>
  <c r="P151" i="6"/>
  <c r="E151" i="7" s="1"/>
  <c r="P143" i="6"/>
  <c r="E143" i="7" s="1"/>
  <c r="P135" i="6"/>
  <c r="E135" i="7" s="1"/>
  <c r="P126" i="6"/>
  <c r="E126" i="7" s="1"/>
  <c r="P110" i="6"/>
  <c r="E110" i="7" s="1"/>
  <c r="P94" i="6"/>
  <c r="E94" i="7" s="1"/>
  <c r="P78" i="6"/>
  <c r="E78" i="7" s="1"/>
  <c r="P62" i="6"/>
  <c r="E62" i="7" s="1"/>
  <c r="P46" i="6"/>
  <c r="E46" i="7" s="1"/>
  <c r="P30" i="6"/>
  <c r="E30" i="7" s="1"/>
  <c r="P14" i="6"/>
  <c r="E14" i="7" s="1"/>
  <c r="T309" i="6"/>
  <c r="F309" i="7" s="1"/>
  <c r="T293" i="6"/>
  <c r="F293" i="7" s="1"/>
  <c r="T277" i="6"/>
  <c r="F277" i="7" s="1"/>
  <c r="T254" i="6"/>
  <c r="F254" i="7" s="1"/>
  <c r="T222" i="6"/>
  <c r="F222" i="7" s="1"/>
  <c r="T190" i="6"/>
  <c r="F190" i="7" s="1"/>
  <c r="T158" i="6"/>
  <c r="F158" i="7" s="1"/>
  <c r="T126" i="6"/>
  <c r="F126" i="7" s="1"/>
  <c r="T94" i="6"/>
  <c r="F94" i="7" s="1"/>
  <c r="X311" i="6"/>
  <c r="G311" i="7" s="1"/>
  <c r="X295" i="6"/>
  <c r="G295" i="7" s="1"/>
  <c r="X279" i="6"/>
  <c r="G279" i="7" s="1"/>
  <c r="X263" i="6"/>
  <c r="G263" i="7" s="1"/>
  <c r="X247" i="6"/>
  <c r="G247" i="7" s="1"/>
  <c r="X231" i="6"/>
  <c r="G231" i="7" s="1"/>
  <c r="X215" i="6"/>
  <c r="G215" i="7" s="1"/>
  <c r="X199" i="6"/>
  <c r="G199" i="7" s="1"/>
  <c r="X183" i="6"/>
  <c r="G183" i="7" s="1"/>
  <c r="X167" i="6"/>
  <c r="G167" i="7" s="1"/>
  <c r="X151" i="6"/>
  <c r="G151" i="7" s="1"/>
  <c r="X135" i="6"/>
  <c r="G135" i="7" s="1"/>
  <c r="X112" i="6"/>
  <c r="G112" i="7" s="1"/>
  <c r="X80" i="6"/>
  <c r="G80" i="7" s="1"/>
  <c r="X48" i="6"/>
  <c r="G48" i="7" s="1"/>
  <c r="X16" i="6"/>
  <c r="G16" i="7" s="1"/>
  <c r="H311" i="6"/>
  <c r="C311" i="7" s="1"/>
  <c r="H299" i="6"/>
  <c r="C299" i="7" s="1"/>
  <c r="H291" i="6"/>
  <c r="C291" i="7" s="1"/>
  <c r="H283" i="6"/>
  <c r="C283" i="7" s="1"/>
  <c r="H275" i="6"/>
  <c r="C275" i="7" s="1"/>
  <c r="H267" i="6"/>
  <c r="C267" i="7" s="1"/>
  <c r="H259" i="6"/>
  <c r="C259" i="7" s="1"/>
  <c r="H255" i="6"/>
  <c r="C255" i="7" s="1"/>
  <c r="H247" i="6"/>
  <c r="C247" i="7" s="1"/>
  <c r="H239" i="6"/>
  <c r="C239" i="7" s="1"/>
  <c r="H231" i="6"/>
  <c r="C231" i="7" s="1"/>
  <c r="H223" i="6"/>
  <c r="C223" i="7" s="1"/>
  <c r="H215" i="6"/>
  <c r="C215" i="7" s="1"/>
  <c r="H207" i="6"/>
  <c r="C207" i="7" s="1"/>
  <c r="H199" i="6"/>
  <c r="C199" i="7" s="1"/>
  <c r="H191" i="6"/>
  <c r="C191" i="7" s="1"/>
  <c r="H183" i="6"/>
  <c r="C183" i="7" s="1"/>
  <c r="H175" i="6"/>
  <c r="C175" i="7" s="1"/>
  <c r="H167" i="6"/>
  <c r="C167" i="7" s="1"/>
  <c r="H159" i="6"/>
  <c r="C159" i="7" s="1"/>
  <c r="H151" i="6"/>
  <c r="C151" i="7" s="1"/>
  <c r="H143" i="6"/>
  <c r="C143" i="7" s="1"/>
  <c r="H135" i="6"/>
  <c r="C135" i="7" s="1"/>
  <c r="H127" i="6"/>
  <c r="C127" i="7" s="1"/>
  <c r="H119" i="6"/>
  <c r="C119" i="7" s="1"/>
  <c r="H115" i="6"/>
  <c r="C115" i="7" s="1"/>
  <c r="H107" i="6"/>
  <c r="C107" i="7" s="1"/>
  <c r="H95" i="6"/>
  <c r="C95" i="7" s="1"/>
  <c r="H87" i="6"/>
  <c r="C87" i="7" s="1"/>
  <c r="H79" i="6"/>
  <c r="C79" i="7" s="1"/>
  <c r="H67" i="6"/>
  <c r="C67" i="7" s="1"/>
  <c r="H59" i="6"/>
  <c r="C59" i="7" s="1"/>
  <c r="H55" i="6"/>
  <c r="C55" i="7" s="1"/>
  <c r="H47" i="6"/>
  <c r="C47" i="7" s="1"/>
  <c r="H39" i="6"/>
  <c r="C39" i="7" s="1"/>
  <c r="H31" i="6"/>
  <c r="C31" i="7" s="1"/>
  <c r="H19" i="6"/>
  <c r="C19" i="7" s="1"/>
  <c r="H11" i="6"/>
  <c r="C11" i="7" s="1"/>
  <c r="T5" i="6"/>
  <c r="F5" i="7" s="1"/>
  <c r="T8" i="6"/>
  <c r="F8" i="7" s="1"/>
  <c r="T24" i="6"/>
  <c r="F24" i="7" s="1"/>
  <c r="T40" i="6"/>
  <c r="F40" i="7" s="1"/>
  <c r="T56" i="6"/>
  <c r="F56" i="7" s="1"/>
  <c r="T72" i="6"/>
  <c r="F72" i="7" s="1"/>
  <c r="T88" i="6"/>
  <c r="F88" i="7" s="1"/>
  <c r="T96" i="6"/>
  <c r="F96" i="7" s="1"/>
  <c r="T104" i="6"/>
  <c r="F104" i="7" s="1"/>
  <c r="T112" i="6"/>
  <c r="F112" i="7" s="1"/>
  <c r="T120" i="6"/>
  <c r="F120" i="7" s="1"/>
  <c r="T128" i="6"/>
  <c r="F128" i="7" s="1"/>
  <c r="T136" i="6"/>
  <c r="F136" i="7" s="1"/>
  <c r="T144" i="6"/>
  <c r="F144" i="7" s="1"/>
  <c r="T152" i="6"/>
  <c r="F152" i="7" s="1"/>
  <c r="T160" i="6"/>
  <c r="F160" i="7" s="1"/>
  <c r="T168" i="6"/>
  <c r="F168" i="7" s="1"/>
  <c r="T176" i="6"/>
  <c r="F176" i="7" s="1"/>
  <c r="T184" i="6"/>
  <c r="F184" i="7" s="1"/>
  <c r="T192" i="6"/>
  <c r="F192" i="7" s="1"/>
  <c r="T200" i="6"/>
  <c r="F200" i="7" s="1"/>
  <c r="T208" i="6"/>
  <c r="F208" i="7" s="1"/>
  <c r="T216" i="6"/>
  <c r="F216" i="7" s="1"/>
  <c r="T224" i="6"/>
  <c r="F224" i="7" s="1"/>
  <c r="T232" i="6"/>
  <c r="F232" i="7" s="1"/>
  <c r="T240" i="6"/>
  <c r="F240" i="7" s="1"/>
  <c r="T248" i="6"/>
  <c r="F248" i="7" s="1"/>
  <c r="T256" i="6"/>
  <c r="F256" i="7" s="1"/>
  <c r="T264" i="6"/>
  <c r="F264" i="7" s="1"/>
  <c r="T270" i="6"/>
  <c r="F270" i="7" s="1"/>
  <c r="T274" i="6"/>
  <c r="F274" i="7" s="1"/>
  <c r="T278" i="6"/>
  <c r="F278" i="7" s="1"/>
  <c r="T282" i="6"/>
  <c r="F282" i="7" s="1"/>
  <c r="T286" i="6"/>
  <c r="F286" i="7" s="1"/>
  <c r="T290" i="6"/>
  <c r="F290" i="7" s="1"/>
  <c r="T294" i="6"/>
  <c r="F294" i="7" s="1"/>
  <c r="T298" i="6"/>
  <c r="F298" i="7" s="1"/>
  <c r="T302" i="6"/>
  <c r="F302" i="7" s="1"/>
  <c r="T306" i="6"/>
  <c r="F306" i="7" s="1"/>
  <c r="T310" i="6"/>
  <c r="F310" i="7" s="1"/>
  <c r="T314" i="6"/>
  <c r="F314" i="7" s="1"/>
  <c r="T318" i="6"/>
  <c r="T12" i="6"/>
  <c r="F12" i="7" s="1"/>
  <c r="T28" i="6"/>
  <c r="F28" i="7" s="1"/>
  <c r="T44" i="6"/>
  <c r="F44" i="7" s="1"/>
  <c r="T60" i="6"/>
  <c r="F60" i="7" s="1"/>
  <c r="T76" i="6"/>
  <c r="F76" i="7" s="1"/>
  <c r="T90" i="6"/>
  <c r="F90" i="7" s="1"/>
  <c r="T98" i="6"/>
  <c r="F98" i="7" s="1"/>
  <c r="T106" i="6"/>
  <c r="F106" i="7" s="1"/>
  <c r="T114" i="6"/>
  <c r="F114" i="7" s="1"/>
  <c r="T122" i="6"/>
  <c r="F122" i="7" s="1"/>
  <c r="T130" i="6"/>
  <c r="F130" i="7" s="1"/>
  <c r="T138" i="6"/>
  <c r="F138" i="7" s="1"/>
  <c r="T146" i="6"/>
  <c r="F146" i="7" s="1"/>
  <c r="T154" i="6"/>
  <c r="F154" i="7" s="1"/>
  <c r="T162" i="6"/>
  <c r="F162" i="7" s="1"/>
  <c r="T170" i="6"/>
  <c r="F170" i="7" s="1"/>
  <c r="T178" i="6"/>
  <c r="F178" i="7" s="1"/>
  <c r="T186" i="6"/>
  <c r="F186" i="7" s="1"/>
  <c r="T194" i="6"/>
  <c r="F194" i="7" s="1"/>
  <c r="T202" i="6"/>
  <c r="F202" i="7" s="1"/>
  <c r="T210" i="6"/>
  <c r="F210" i="7" s="1"/>
  <c r="T218" i="6"/>
  <c r="F218" i="7" s="1"/>
  <c r="T226" i="6"/>
  <c r="F226" i="7" s="1"/>
  <c r="T234" i="6"/>
  <c r="F234" i="7" s="1"/>
  <c r="T242" i="6"/>
  <c r="F242" i="7" s="1"/>
  <c r="T250" i="6"/>
  <c r="F250" i="7" s="1"/>
  <c r="T258" i="6"/>
  <c r="F258" i="7" s="1"/>
  <c r="T266" i="6"/>
  <c r="F266" i="7" s="1"/>
  <c r="T271" i="6"/>
  <c r="F271" i="7" s="1"/>
  <c r="T275" i="6"/>
  <c r="F275" i="7" s="1"/>
  <c r="T279" i="6"/>
  <c r="F279" i="7" s="1"/>
  <c r="T283" i="6"/>
  <c r="F283" i="7" s="1"/>
  <c r="T287" i="6"/>
  <c r="F287" i="7" s="1"/>
  <c r="T291" i="6"/>
  <c r="F291" i="7" s="1"/>
  <c r="T295" i="6"/>
  <c r="F295" i="7" s="1"/>
  <c r="T299" i="6"/>
  <c r="F299" i="7" s="1"/>
  <c r="T303" i="6"/>
  <c r="F303" i="7" s="1"/>
  <c r="T307" i="6"/>
  <c r="F307" i="7" s="1"/>
  <c r="T311" i="6"/>
  <c r="F311" i="7" s="1"/>
  <c r="T315" i="6"/>
  <c r="F315" i="7" s="1"/>
  <c r="T4" i="6"/>
  <c r="F4" i="7" s="1"/>
  <c r="T16" i="6"/>
  <c r="F16" i="7" s="1"/>
  <c r="T32" i="6"/>
  <c r="F32" i="7" s="1"/>
  <c r="T48" i="6"/>
  <c r="F48" i="7" s="1"/>
  <c r="T64" i="6"/>
  <c r="F64" i="7" s="1"/>
  <c r="T80" i="6"/>
  <c r="F80" i="7" s="1"/>
  <c r="T92" i="6"/>
  <c r="F92" i="7" s="1"/>
  <c r="T100" i="6"/>
  <c r="F100" i="7" s="1"/>
  <c r="T108" i="6"/>
  <c r="F108" i="7" s="1"/>
  <c r="T116" i="6"/>
  <c r="F116" i="7" s="1"/>
  <c r="T124" i="6"/>
  <c r="F124" i="7" s="1"/>
  <c r="T132" i="6"/>
  <c r="F132" i="7" s="1"/>
  <c r="T140" i="6"/>
  <c r="F140" i="7" s="1"/>
  <c r="T148" i="6"/>
  <c r="F148" i="7" s="1"/>
  <c r="T156" i="6"/>
  <c r="F156" i="7" s="1"/>
  <c r="T164" i="6"/>
  <c r="F164" i="7" s="1"/>
  <c r="T172" i="6"/>
  <c r="F172" i="7" s="1"/>
  <c r="T180" i="6"/>
  <c r="F180" i="7" s="1"/>
  <c r="T188" i="6"/>
  <c r="F188" i="7" s="1"/>
  <c r="T196" i="6"/>
  <c r="F196" i="7" s="1"/>
  <c r="T204" i="6"/>
  <c r="F204" i="7" s="1"/>
  <c r="T212" i="6"/>
  <c r="F212" i="7" s="1"/>
  <c r="T220" i="6"/>
  <c r="F220" i="7" s="1"/>
  <c r="T228" i="6"/>
  <c r="F228" i="7" s="1"/>
  <c r="T236" i="6"/>
  <c r="F236" i="7" s="1"/>
  <c r="T244" i="6"/>
  <c r="F244" i="7" s="1"/>
  <c r="T252" i="6"/>
  <c r="F252" i="7" s="1"/>
  <c r="T260" i="6"/>
  <c r="F260" i="7" s="1"/>
  <c r="T268" i="6"/>
  <c r="F268" i="7" s="1"/>
  <c r="T272" i="6"/>
  <c r="F272" i="7" s="1"/>
  <c r="T276" i="6"/>
  <c r="F276" i="7" s="1"/>
  <c r="T280" i="6"/>
  <c r="F280" i="7" s="1"/>
  <c r="T284" i="6"/>
  <c r="F284" i="7" s="1"/>
  <c r="T288" i="6"/>
  <c r="F288" i="7" s="1"/>
  <c r="T292" i="6"/>
  <c r="F292" i="7" s="1"/>
  <c r="T296" i="6"/>
  <c r="F296" i="7" s="1"/>
  <c r="T300" i="6"/>
  <c r="F300" i="7" s="1"/>
  <c r="T304" i="6"/>
  <c r="F304" i="7" s="1"/>
  <c r="T308" i="6"/>
  <c r="F308" i="7" s="1"/>
  <c r="T312" i="6"/>
  <c r="F312" i="7" s="1"/>
  <c r="T316" i="6"/>
  <c r="F316" i="7" s="1"/>
  <c r="H313" i="6"/>
  <c r="C313" i="7" s="1"/>
  <c r="H305" i="6"/>
  <c r="C305" i="7" s="1"/>
  <c r="H297" i="6"/>
  <c r="C297" i="7" s="1"/>
  <c r="H289" i="6"/>
  <c r="C289" i="7" s="1"/>
  <c r="H285" i="6"/>
  <c r="C285" i="7" s="1"/>
  <c r="H277" i="6"/>
  <c r="C277" i="7" s="1"/>
  <c r="H269" i="6"/>
  <c r="C269" i="7" s="1"/>
  <c r="H261" i="6"/>
  <c r="C261" i="7" s="1"/>
  <c r="H257" i="6"/>
  <c r="C257" i="7" s="1"/>
  <c r="H249" i="6"/>
  <c r="C249" i="7" s="1"/>
  <c r="H245" i="6"/>
  <c r="C245" i="7" s="1"/>
  <c r="H237" i="6"/>
  <c r="C237" i="7" s="1"/>
  <c r="H229" i="6"/>
  <c r="C229" i="7" s="1"/>
  <c r="H221" i="6"/>
  <c r="C221" i="7" s="1"/>
  <c r="H213" i="6"/>
  <c r="C213" i="7" s="1"/>
  <c r="H205" i="6"/>
  <c r="C205" i="7" s="1"/>
  <c r="H201" i="6"/>
  <c r="C201" i="7" s="1"/>
  <c r="H193" i="6"/>
  <c r="C193" i="7" s="1"/>
  <c r="H185" i="6"/>
  <c r="C185" i="7" s="1"/>
  <c r="H177" i="6"/>
  <c r="C177" i="7" s="1"/>
  <c r="H169" i="6"/>
  <c r="C169" i="7" s="1"/>
  <c r="H161" i="6"/>
  <c r="C161" i="7" s="1"/>
  <c r="H153" i="6"/>
  <c r="C153" i="7" s="1"/>
  <c r="H145" i="6"/>
  <c r="C145" i="7" s="1"/>
  <c r="H137" i="6"/>
  <c r="C137" i="7" s="1"/>
  <c r="H129" i="6"/>
  <c r="C129" i="7" s="1"/>
  <c r="H125" i="6"/>
  <c r="C125" i="7" s="1"/>
  <c r="H117" i="6"/>
  <c r="C117" i="7" s="1"/>
  <c r="H109" i="6"/>
  <c r="C109" i="7" s="1"/>
  <c r="H101" i="6"/>
  <c r="C101" i="7" s="1"/>
  <c r="H93" i="6"/>
  <c r="C93" i="7" s="1"/>
  <c r="H89" i="6"/>
  <c r="C89" i="7" s="1"/>
  <c r="H81" i="6"/>
  <c r="C81" i="7" s="1"/>
  <c r="H77" i="6"/>
  <c r="C77" i="7" s="1"/>
  <c r="H69" i="6"/>
  <c r="C69" i="7" s="1"/>
  <c r="H61" i="6"/>
  <c r="C61" i="7" s="1"/>
  <c r="H53" i="6"/>
  <c r="C53" i="7" s="1"/>
  <c r="H45" i="6"/>
  <c r="C45" i="7" s="1"/>
  <c r="H41" i="6"/>
  <c r="C41" i="7" s="1"/>
  <c r="H33" i="6"/>
  <c r="C33" i="7" s="1"/>
  <c r="H25" i="6"/>
  <c r="C25" i="7" s="1"/>
  <c r="H21" i="6"/>
  <c r="C21" i="7" s="1"/>
  <c r="H13" i="6"/>
  <c r="C13" i="7" s="1"/>
  <c r="H9" i="6"/>
  <c r="C9" i="7" s="1"/>
  <c r="H316" i="6"/>
  <c r="C316" i="7" s="1"/>
  <c r="H312" i="6"/>
  <c r="C312" i="7" s="1"/>
  <c r="H308" i="6"/>
  <c r="C308" i="7" s="1"/>
  <c r="H304" i="6"/>
  <c r="C304" i="7" s="1"/>
  <c r="H300" i="6"/>
  <c r="C300" i="7" s="1"/>
  <c r="H296" i="6"/>
  <c r="C296" i="7" s="1"/>
  <c r="H292" i="6"/>
  <c r="C292" i="7" s="1"/>
  <c r="H288" i="6"/>
  <c r="C288" i="7" s="1"/>
  <c r="H284" i="6"/>
  <c r="C284" i="7" s="1"/>
  <c r="H280" i="6"/>
  <c r="C280" i="7" s="1"/>
  <c r="H276" i="6"/>
  <c r="C276" i="7" s="1"/>
  <c r="H272" i="6"/>
  <c r="C272" i="7" s="1"/>
  <c r="H268" i="6"/>
  <c r="C268" i="7" s="1"/>
  <c r="H264" i="6"/>
  <c r="C264" i="7" s="1"/>
  <c r="H260" i="6"/>
  <c r="C260" i="7" s="1"/>
  <c r="H256" i="6"/>
  <c r="C256" i="7" s="1"/>
  <c r="H252" i="6"/>
  <c r="C252" i="7" s="1"/>
  <c r="H248" i="6"/>
  <c r="C248" i="7" s="1"/>
  <c r="H244" i="6"/>
  <c r="C244" i="7" s="1"/>
  <c r="H240" i="6"/>
  <c r="C240" i="7" s="1"/>
  <c r="H236" i="6"/>
  <c r="C236" i="7" s="1"/>
  <c r="H232" i="6"/>
  <c r="C232" i="7" s="1"/>
  <c r="H228" i="6"/>
  <c r="C228" i="7" s="1"/>
  <c r="H224" i="6"/>
  <c r="C224" i="7" s="1"/>
  <c r="H220" i="6"/>
  <c r="C220" i="7" s="1"/>
  <c r="H216" i="6"/>
  <c r="C216" i="7" s="1"/>
  <c r="H212" i="6"/>
  <c r="C212" i="7" s="1"/>
  <c r="H208" i="6"/>
  <c r="C208" i="7" s="1"/>
  <c r="H204" i="6"/>
  <c r="C204" i="7" s="1"/>
  <c r="H200" i="6"/>
  <c r="C200" i="7" s="1"/>
  <c r="H196" i="6"/>
  <c r="C196" i="7" s="1"/>
  <c r="H192" i="6"/>
  <c r="C192" i="7" s="1"/>
  <c r="H188" i="6"/>
  <c r="C188" i="7" s="1"/>
  <c r="H184" i="6"/>
  <c r="C184" i="7" s="1"/>
  <c r="H180" i="6"/>
  <c r="C180" i="7" s="1"/>
  <c r="H176" i="6"/>
  <c r="C176" i="7" s="1"/>
  <c r="H172" i="6"/>
  <c r="C172" i="7" s="1"/>
  <c r="H168" i="6"/>
  <c r="C168" i="7" s="1"/>
  <c r="H164" i="6"/>
  <c r="C164" i="7" s="1"/>
  <c r="H160" i="6"/>
  <c r="C160" i="7" s="1"/>
  <c r="H156" i="6"/>
  <c r="C156" i="7" s="1"/>
  <c r="H152" i="6"/>
  <c r="C152" i="7" s="1"/>
  <c r="H148" i="6"/>
  <c r="C148" i="7" s="1"/>
  <c r="H144" i="6"/>
  <c r="C144" i="7" s="1"/>
  <c r="H140" i="6"/>
  <c r="C140" i="7" s="1"/>
  <c r="H136" i="6"/>
  <c r="C136" i="7" s="1"/>
  <c r="H132" i="6"/>
  <c r="C132" i="7" s="1"/>
  <c r="H128" i="6"/>
  <c r="C128" i="7" s="1"/>
  <c r="H124" i="6"/>
  <c r="C124" i="7" s="1"/>
  <c r="H120" i="6"/>
  <c r="C120" i="7" s="1"/>
  <c r="H116" i="6"/>
  <c r="C116" i="7" s="1"/>
  <c r="H112" i="6"/>
  <c r="C112" i="7" s="1"/>
  <c r="H108" i="6"/>
  <c r="C108" i="7" s="1"/>
  <c r="H104" i="6"/>
  <c r="C104" i="7" s="1"/>
  <c r="H100" i="6"/>
  <c r="C100" i="7" s="1"/>
  <c r="H96" i="6"/>
  <c r="C96" i="7" s="1"/>
  <c r="H92" i="6"/>
  <c r="C92" i="7" s="1"/>
  <c r="H88" i="6"/>
  <c r="C88" i="7" s="1"/>
  <c r="H84" i="6"/>
  <c r="C84" i="7" s="1"/>
  <c r="H80" i="6"/>
  <c r="C80" i="7" s="1"/>
  <c r="H76" i="6"/>
  <c r="C76" i="7" s="1"/>
  <c r="H72" i="6"/>
  <c r="C72" i="7" s="1"/>
  <c r="H68" i="6"/>
  <c r="C68" i="7" s="1"/>
  <c r="H64" i="6"/>
  <c r="C64" i="7" s="1"/>
  <c r="H60" i="6"/>
  <c r="C60" i="7" s="1"/>
  <c r="H56" i="6"/>
  <c r="C56" i="7" s="1"/>
  <c r="H52" i="6"/>
  <c r="C52" i="7" s="1"/>
  <c r="H48" i="6"/>
  <c r="C48" i="7" s="1"/>
  <c r="H44" i="6"/>
  <c r="C44" i="7" s="1"/>
  <c r="H40" i="6"/>
  <c r="C40" i="7" s="1"/>
  <c r="H36" i="6"/>
  <c r="C36" i="7" s="1"/>
  <c r="H32" i="6"/>
  <c r="C32" i="7" s="1"/>
  <c r="H28" i="6"/>
  <c r="C28" i="7" s="1"/>
  <c r="H24" i="6"/>
  <c r="C24" i="7" s="1"/>
  <c r="H20" i="6"/>
  <c r="C20" i="7" s="1"/>
  <c r="H16" i="6"/>
  <c r="C16" i="7" s="1"/>
  <c r="H12" i="6"/>
  <c r="C12" i="7" s="1"/>
  <c r="H8" i="6"/>
  <c r="C8" i="7" s="1"/>
  <c r="L318" i="6"/>
  <c r="L314" i="6"/>
  <c r="D314" i="7" s="1"/>
  <c r="L308" i="6"/>
  <c r="D308" i="7" s="1"/>
  <c r="L303" i="6"/>
  <c r="D303" i="7" s="1"/>
  <c r="L298" i="6"/>
  <c r="D298" i="7" s="1"/>
  <c r="L292" i="6"/>
  <c r="D292" i="7" s="1"/>
  <c r="L287" i="6"/>
  <c r="D287" i="7" s="1"/>
  <c r="L282" i="6"/>
  <c r="D282" i="7" s="1"/>
  <c r="L276" i="6"/>
  <c r="D276" i="7" s="1"/>
  <c r="L271" i="6"/>
  <c r="D271" i="7" s="1"/>
  <c r="L266" i="6"/>
  <c r="D266" i="7" s="1"/>
  <c r="L260" i="6"/>
  <c r="D260" i="7" s="1"/>
  <c r="L255" i="6"/>
  <c r="D255" i="7" s="1"/>
  <c r="L250" i="6"/>
  <c r="D250" i="7" s="1"/>
  <c r="L244" i="6"/>
  <c r="D244" i="7" s="1"/>
  <c r="L239" i="6"/>
  <c r="D239" i="7" s="1"/>
  <c r="L234" i="6"/>
  <c r="D234" i="7" s="1"/>
  <c r="L228" i="6"/>
  <c r="D228" i="7" s="1"/>
  <c r="L223" i="6"/>
  <c r="D223" i="7" s="1"/>
  <c r="L218" i="6"/>
  <c r="D218" i="7" s="1"/>
  <c r="L212" i="6"/>
  <c r="D212" i="7" s="1"/>
  <c r="L207" i="6"/>
  <c r="D207" i="7" s="1"/>
  <c r="L202" i="6"/>
  <c r="D202" i="7" s="1"/>
  <c r="L196" i="6"/>
  <c r="D196" i="7" s="1"/>
  <c r="L191" i="6"/>
  <c r="D191" i="7" s="1"/>
  <c r="L186" i="6"/>
  <c r="D186" i="7" s="1"/>
  <c r="L180" i="6"/>
  <c r="D180" i="7" s="1"/>
  <c r="L175" i="6"/>
  <c r="D175" i="7" s="1"/>
  <c r="L170" i="6"/>
  <c r="D170" i="7" s="1"/>
  <c r="L164" i="6"/>
  <c r="D164" i="7" s="1"/>
  <c r="L159" i="6"/>
  <c r="D159" i="7" s="1"/>
  <c r="L152" i="6"/>
  <c r="D152" i="7" s="1"/>
  <c r="L144" i="6"/>
  <c r="D144" i="7" s="1"/>
  <c r="L138" i="6"/>
  <c r="D138" i="7" s="1"/>
  <c r="L131" i="6"/>
  <c r="D131" i="7" s="1"/>
  <c r="L120" i="6"/>
  <c r="D120" i="7" s="1"/>
  <c r="L110" i="6"/>
  <c r="D110" i="7" s="1"/>
  <c r="L100" i="6"/>
  <c r="D100" i="7" s="1"/>
  <c r="L88" i="6"/>
  <c r="D88" i="7" s="1"/>
  <c r="L78" i="6"/>
  <c r="D78" i="7" s="1"/>
  <c r="L68" i="6"/>
  <c r="D68" i="7" s="1"/>
  <c r="L56" i="6"/>
  <c r="D56" i="7" s="1"/>
  <c r="L46" i="6"/>
  <c r="D46" i="7" s="1"/>
  <c r="L36" i="6"/>
  <c r="D36" i="7" s="1"/>
  <c r="L20" i="6"/>
  <c r="D20" i="7" s="1"/>
  <c r="P318" i="6"/>
  <c r="P310" i="6"/>
  <c r="E310" i="7" s="1"/>
  <c r="P302" i="6"/>
  <c r="E302" i="7" s="1"/>
  <c r="P294" i="6"/>
  <c r="E294" i="7" s="1"/>
  <c r="P286" i="6"/>
  <c r="E286" i="7" s="1"/>
  <c r="P278" i="6"/>
  <c r="E278" i="7" s="1"/>
  <c r="P270" i="6"/>
  <c r="E270" i="7" s="1"/>
  <c r="P262" i="6"/>
  <c r="E262" i="7" s="1"/>
  <c r="P254" i="6"/>
  <c r="E254" i="7" s="1"/>
  <c r="P246" i="6"/>
  <c r="E246" i="7" s="1"/>
  <c r="P238" i="6"/>
  <c r="E238" i="7" s="1"/>
  <c r="P230" i="6"/>
  <c r="E230" i="7" s="1"/>
  <c r="P222" i="6"/>
  <c r="E222" i="7" s="1"/>
  <c r="P214" i="6"/>
  <c r="E214" i="7" s="1"/>
  <c r="P206" i="6"/>
  <c r="E206" i="7" s="1"/>
  <c r="P198" i="6"/>
  <c r="E198" i="7" s="1"/>
  <c r="P190" i="6"/>
  <c r="E190" i="7" s="1"/>
  <c r="P182" i="6"/>
  <c r="E182" i="7" s="1"/>
  <c r="P174" i="6"/>
  <c r="E174" i="7" s="1"/>
  <c r="P166" i="6"/>
  <c r="E166" i="7" s="1"/>
  <c r="P158" i="6"/>
  <c r="E158" i="7" s="1"/>
  <c r="P150" i="6"/>
  <c r="E150" i="7" s="1"/>
  <c r="P142" i="6"/>
  <c r="E142" i="7" s="1"/>
  <c r="P134" i="6"/>
  <c r="E134" i="7" s="1"/>
  <c r="P122" i="6"/>
  <c r="E122" i="7" s="1"/>
  <c r="P106" i="6"/>
  <c r="E106" i="7" s="1"/>
  <c r="P90" i="6"/>
  <c r="E90" i="7" s="1"/>
  <c r="P74" i="6"/>
  <c r="E74" i="7" s="1"/>
  <c r="P58" i="6"/>
  <c r="E58" i="7" s="1"/>
  <c r="P42" i="6"/>
  <c r="E42" i="7" s="1"/>
  <c r="P26" i="6"/>
  <c r="E26" i="7" s="1"/>
  <c r="P10" i="6"/>
  <c r="E10" i="7" s="1"/>
  <c r="T305" i="6"/>
  <c r="F305" i="7" s="1"/>
  <c r="T289" i="6"/>
  <c r="F289" i="7" s="1"/>
  <c r="T273" i="6"/>
  <c r="F273" i="7" s="1"/>
  <c r="T246" i="6"/>
  <c r="F246" i="7" s="1"/>
  <c r="T214" i="6"/>
  <c r="F214" i="7" s="1"/>
  <c r="T182" i="6"/>
  <c r="F182" i="7" s="1"/>
  <c r="T150" i="6"/>
  <c r="F150" i="7" s="1"/>
  <c r="T118" i="6"/>
  <c r="F118" i="7" s="1"/>
  <c r="T84" i="6"/>
  <c r="F84" i="7" s="1"/>
  <c r="T20" i="6"/>
  <c r="F20" i="7" s="1"/>
  <c r="X307" i="6"/>
  <c r="G307" i="7" s="1"/>
  <c r="X291" i="6"/>
  <c r="G291" i="7" s="1"/>
  <c r="X275" i="6"/>
  <c r="G275" i="7" s="1"/>
  <c r="X259" i="6"/>
  <c r="G259" i="7" s="1"/>
  <c r="X243" i="6"/>
  <c r="G243" i="7" s="1"/>
  <c r="X227" i="6"/>
  <c r="G227" i="7" s="1"/>
  <c r="X211" i="6"/>
  <c r="G211" i="7" s="1"/>
  <c r="X195" i="6"/>
  <c r="G195" i="7" s="1"/>
  <c r="X179" i="6"/>
  <c r="G179" i="7" s="1"/>
  <c r="X163" i="6"/>
  <c r="G163" i="7" s="1"/>
  <c r="X147" i="6"/>
  <c r="G147" i="7" s="1"/>
  <c r="X131" i="6"/>
  <c r="G131" i="7" s="1"/>
  <c r="X104" i="6"/>
  <c r="G104" i="7" s="1"/>
  <c r="X72" i="6"/>
  <c r="G72" i="7" s="1"/>
  <c r="X40" i="6"/>
  <c r="G40" i="7" s="1"/>
  <c r="X8" i="6"/>
  <c r="G8" i="7" s="1"/>
  <c r="T267" i="6"/>
  <c r="F267" i="7" s="1"/>
  <c r="T263" i="6"/>
  <c r="F263" i="7" s="1"/>
  <c r="T259" i="6"/>
  <c r="F259" i="7" s="1"/>
  <c r="T255" i="6"/>
  <c r="F255" i="7" s="1"/>
  <c r="T251" i="6"/>
  <c r="F251" i="7" s="1"/>
  <c r="T247" i="6"/>
  <c r="F247" i="7" s="1"/>
  <c r="T243" i="6"/>
  <c r="F243" i="7" s="1"/>
  <c r="T239" i="6"/>
  <c r="F239" i="7" s="1"/>
  <c r="T235" i="6"/>
  <c r="F235" i="7" s="1"/>
  <c r="T231" i="6"/>
  <c r="F231" i="7" s="1"/>
  <c r="T227" i="6"/>
  <c r="F227" i="7" s="1"/>
  <c r="T223" i="6"/>
  <c r="F223" i="7" s="1"/>
  <c r="T219" i="6"/>
  <c r="F219" i="7" s="1"/>
  <c r="T215" i="6"/>
  <c r="F215" i="7" s="1"/>
  <c r="T211" i="6"/>
  <c r="F211" i="7" s="1"/>
  <c r="T207" i="6"/>
  <c r="F207" i="7" s="1"/>
  <c r="T203" i="6"/>
  <c r="F203" i="7" s="1"/>
  <c r="T199" i="6"/>
  <c r="F199" i="7" s="1"/>
  <c r="T195" i="6"/>
  <c r="F195" i="7" s="1"/>
  <c r="T191" i="6"/>
  <c r="F191" i="7" s="1"/>
  <c r="T187" i="6"/>
  <c r="F187" i="7" s="1"/>
  <c r="T183" i="6"/>
  <c r="F183" i="7" s="1"/>
  <c r="T179" i="6"/>
  <c r="F179" i="7" s="1"/>
  <c r="T175" i="6"/>
  <c r="F175" i="7" s="1"/>
  <c r="T171" i="6"/>
  <c r="F171" i="7" s="1"/>
  <c r="T167" i="6"/>
  <c r="F167" i="7" s="1"/>
  <c r="T163" i="6"/>
  <c r="F163" i="7" s="1"/>
  <c r="T159" i="6"/>
  <c r="F159" i="7" s="1"/>
  <c r="T155" i="6"/>
  <c r="F155" i="7" s="1"/>
  <c r="T151" i="6"/>
  <c r="F151" i="7" s="1"/>
  <c r="T147" i="6"/>
  <c r="F147" i="7" s="1"/>
  <c r="T143" i="6"/>
  <c r="F143" i="7" s="1"/>
  <c r="T139" i="6"/>
  <c r="F139" i="7" s="1"/>
  <c r="T135" i="6"/>
  <c r="F135" i="7" s="1"/>
  <c r="T131" i="6"/>
  <c r="F131" i="7" s="1"/>
  <c r="T127" i="6"/>
  <c r="F127" i="7" s="1"/>
  <c r="T123" i="6"/>
  <c r="F123" i="7" s="1"/>
  <c r="T119" i="6"/>
  <c r="F119" i="7" s="1"/>
  <c r="T115" i="6"/>
  <c r="F115" i="7" s="1"/>
  <c r="T111" i="6"/>
  <c r="F111" i="7" s="1"/>
  <c r="T107" i="6"/>
  <c r="F107" i="7" s="1"/>
  <c r="T103" i="6"/>
  <c r="F103" i="7" s="1"/>
  <c r="T99" i="6"/>
  <c r="F99" i="7" s="1"/>
  <c r="T95" i="6"/>
  <c r="F95" i="7" s="1"/>
  <c r="T91" i="6"/>
  <c r="F91" i="7" s="1"/>
  <c r="T87" i="6"/>
  <c r="F87" i="7" s="1"/>
  <c r="T83" i="6"/>
  <c r="F83" i="7" s="1"/>
  <c r="T79" i="6"/>
  <c r="F79" i="7" s="1"/>
  <c r="T75" i="6"/>
  <c r="F75" i="7" s="1"/>
  <c r="T71" i="6"/>
  <c r="F71" i="7" s="1"/>
  <c r="T67" i="6"/>
  <c r="F67" i="7" s="1"/>
  <c r="T63" i="6"/>
  <c r="F63" i="7" s="1"/>
  <c r="T59" i="6"/>
  <c r="F59" i="7" s="1"/>
  <c r="T55" i="6"/>
  <c r="F55" i="7" s="1"/>
  <c r="T51" i="6"/>
  <c r="F51" i="7" s="1"/>
  <c r="T47" i="6"/>
  <c r="F47" i="7" s="1"/>
  <c r="T43" i="6"/>
  <c r="F43" i="7" s="1"/>
  <c r="T39" i="6"/>
  <c r="F39" i="7" s="1"/>
  <c r="T35" i="6"/>
  <c r="F35" i="7" s="1"/>
  <c r="T31" i="6"/>
  <c r="F31" i="7" s="1"/>
  <c r="T27" i="6"/>
  <c r="F27" i="7" s="1"/>
  <c r="T23" i="6"/>
  <c r="F23" i="7" s="1"/>
  <c r="T19" i="6"/>
  <c r="F19" i="7" s="1"/>
  <c r="T15" i="6"/>
  <c r="F15" i="7" s="1"/>
  <c r="T11" i="6"/>
  <c r="F11" i="7" s="1"/>
  <c r="T7" i="6"/>
  <c r="F7" i="7" s="1"/>
  <c r="T86" i="6"/>
  <c r="F86" i="7" s="1"/>
  <c r="T82" i="6"/>
  <c r="F82" i="7" s="1"/>
  <c r="T78" i="6"/>
  <c r="F78" i="7" s="1"/>
  <c r="T74" i="6"/>
  <c r="F74" i="7" s="1"/>
  <c r="T70" i="6"/>
  <c r="F70" i="7" s="1"/>
  <c r="T66" i="6"/>
  <c r="F66" i="7" s="1"/>
  <c r="T62" i="6"/>
  <c r="F62" i="7" s="1"/>
  <c r="T58" i="6"/>
  <c r="F58" i="7" s="1"/>
  <c r="T54" i="6"/>
  <c r="F54" i="7" s="1"/>
  <c r="T50" i="6"/>
  <c r="F50" i="7" s="1"/>
  <c r="T46" i="6"/>
  <c r="F46" i="7" s="1"/>
  <c r="T42" i="6"/>
  <c r="F42" i="7" s="1"/>
  <c r="T38" i="6"/>
  <c r="F38" i="7" s="1"/>
  <c r="T34" i="6"/>
  <c r="F34" i="7" s="1"/>
  <c r="T30" i="6"/>
  <c r="F30" i="7" s="1"/>
  <c r="T26" i="6"/>
  <c r="F26" i="7" s="1"/>
  <c r="T22" i="6"/>
  <c r="F22" i="7" s="1"/>
  <c r="T18" i="6"/>
  <c r="F18" i="7" s="1"/>
  <c r="T14" i="6"/>
  <c r="F14" i="7" s="1"/>
  <c r="T10" i="6"/>
  <c r="F10" i="7" s="1"/>
  <c r="T6" i="6"/>
  <c r="F6" i="7" s="1"/>
  <c r="T265" i="6"/>
  <c r="F265" i="7" s="1"/>
  <c r="T261" i="6"/>
  <c r="F261" i="7" s="1"/>
  <c r="T257" i="6"/>
  <c r="F257" i="7" s="1"/>
  <c r="T253" i="6"/>
  <c r="F253" i="7" s="1"/>
  <c r="T249" i="6"/>
  <c r="F249" i="7" s="1"/>
  <c r="T245" i="6"/>
  <c r="F245" i="7" s="1"/>
  <c r="T241" i="6"/>
  <c r="F241" i="7" s="1"/>
  <c r="T237" i="6"/>
  <c r="F237" i="7" s="1"/>
  <c r="T233" i="6"/>
  <c r="F233" i="7" s="1"/>
  <c r="T229" i="6"/>
  <c r="F229" i="7" s="1"/>
  <c r="T225" i="6"/>
  <c r="F225" i="7" s="1"/>
  <c r="T221" i="6"/>
  <c r="F221" i="7" s="1"/>
  <c r="T217" i="6"/>
  <c r="F217" i="7" s="1"/>
  <c r="T213" i="6"/>
  <c r="F213" i="7" s="1"/>
  <c r="T209" i="6"/>
  <c r="F209" i="7" s="1"/>
  <c r="T205" i="6"/>
  <c r="F205" i="7" s="1"/>
  <c r="T201" i="6"/>
  <c r="F201" i="7" s="1"/>
  <c r="T197" i="6"/>
  <c r="F197" i="7" s="1"/>
  <c r="T193" i="6"/>
  <c r="F193" i="7" s="1"/>
  <c r="T189" i="6"/>
  <c r="F189" i="7" s="1"/>
  <c r="T185" i="6"/>
  <c r="F185" i="7" s="1"/>
  <c r="T181" i="6"/>
  <c r="F181" i="7" s="1"/>
  <c r="T177" i="6"/>
  <c r="F177" i="7" s="1"/>
  <c r="T173" i="6"/>
  <c r="F173" i="7" s="1"/>
  <c r="T169" i="6"/>
  <c r="F169" i="7" s="1"/>
  <c r="T165" i="6"/>
  <c r="F165" i="7" s="1"/>
  <c r="T161" i="6"/>
  <c r="F161" i="7" s="1"/>
  <c r="T157" i="6"/>
  <c r="F157" i="7" s="1"/>
  <c r="T153" i="6"/>
  <c r="F153" i="7" s="1"/>
  <c r="T149" i="6"/>
  <c r="F149" i="7" s="1"/>
  <c r="T145" i="6"/>
  <c r="F145" i="7" s="1"/>
  <c r="T141" i="6"/>
  <c r="F141" i="7" s="1"/>
  <c r="T137" i="6"/>
  <c r="F137" i="7" s="1"/>
  <c r="T133" i="6"/>
  <c r="F133" i="7" s="1"/>
  <c r="T129" i="6"/>
  <c r="F129" i="7" s="1"/>
  <c r="T125" i="6"/>
  <c r="F125" i="7" s="1"/>
  <c r="T121" i="6"/>
  <c r="F121" i="7" s="1"/>
  <c r="T117" i="6"/>
  <c r="F117" i="7" s="1"/>
  <c r="T113" i="6"/>
  <c r="F113" i="7" s="1"/>
  <c r="T109" i="6"/>
  <c r="F109" i="7" s="1"/>
  <c r="T105" i="6"/>
  <c r="F105" i="7" s="1"/>
  <c r="T101" i="6"/>
  <c r="F101" i="7" s="1"/>
  <c r="T97" i="6"/>
  <c r="F97" i="7" s="1"/>
  <c r="T93" i="6"/>
  <c r="F93" i="7" s="1"/>
  <c r="T89" i="6"/>
  <c r="F89" i="7" s="1"/>
  <c r="T85" i="6"/>
  <c r="F85" i="7" s="1"/>
  <c r="T81" i="6"/>
  <c r="F81" i="7" s="1"/>
  <c r="T77" i="6"/>
  <c r="F77" i="7" s="1"/>
  <c r="T73" i="6"/>
  <c r="F73" i="7" s="1"/>
  <c r="T69" i="6"/>
  <c r="F69" i="7" s="1"/>
  <c r="T65" i="6"/>
  <c r="F65" i="7" s="1"/>
  <c r="T61" i="6"/>
  <c r="F61" i="7" s="1"/>
  <c r="T57" i="6"/>
  <c r="F57" i="7" s="1"/>
  <c r="T53" i="6"/>
  <c r="F53" i="7" s="1"/>
  <c r="T49" i="6"/>
  <c r="F49" i="7" s="1"/>
  <c r="T45" i="6"/>
  <c r="F45" i="7" s="1"/>
  <c r="T41" i="6"/>
  <c r="F41" i="7" s="1"/>
  <c r="T37" i="6"/>
  <c r="F37" i="7" s="1"/>
  <c r="T33" i="6"/>
  <c r="F33" i="7" s="1"/>
  <c r="T29" i="6"/>
  <c r="F29" i="7" s="1"/>
  <c r="T25" i="6"/>
  <c r="F25" i="7" s="1"/>
  <c r="T21" i="6"/>
  <c r="F21" i="7" s="1"/>
  <c r="T17" i="6"/>
  <c r="F17" i="7" s="1"/>
  <c r="T13" i="6"/>
  <c r="F13" i="7" s="1"/>
  <c r="T9" i="6"/>
  <c r="F9" i="7" s="1"/>
  <c r="L127" i="6"/>
  <c r="D127" i="7" s="1"/>
  <c r="L123" i="6"/>
  <c r="D123" i="7" s="1"/>
  <c r="L119" i="6"/>
  <c r="D119" i="7" s="1"/>
  <c r="L115" i="6"/>
  <c r="D115" i="7" s="1"/>
  <c r="L111" i="6"/>
  <c r="D111" i="7" s="1"/>
  <c r="L107" i="6"/>
  <c r="D107" i="7" s="1"/>
  <c r="L103" i="6"/>
  <c r="D103" i="7" s="1"/>
  <c r="L99" i="6"/>
  <c r="D99" i="7" s="1"/>
  <c r="L95" i="6"/>
  <c r="D95" i="7" s="1"/>
  <c r="L91" i="6"/>
  <c r="D91" i="7" s="1"/>
  <c r="L87" i="6"/>
  <c r="D87" i="7" s="1"/>
  <c r="L83" i="6"/>
  <c r="D83" i="7" s="1"/>
  <c r="L79" i="6"/>
  <c r="D79" i="7" s="1"/>
  <c r="L75" i="6"/>
  <c r="D75" i="7" s="1"/>
  <c r="L71" i="6"/>
  <c r="D71" i="7" s="1"/>
  <c r="L67" i="6"/>
  <c r="D67" i="7" s="1"/>
  <c r="L63" i="6"/>
  <c r="D63" i="7" s="1"/>
  <c r="L59" i="6"/>
  <c r="D59" i="7" s="1"/>
  <c r="L55" i="6"/>
  <c r="D55" i="7" s="1"/>
  <c r="L51" i="6"/>
  <c r="D51" i="7" s="1"/>
  <c r="L47" i="6"/>
  <c r="D47" i="7" s="1"/>
  <c r="L43" i="6"/>
  <c r="D43" i="7" s="1"/>
  <c r="L39" i="6"/>
  <c r="D39" i="7" s="1"/>
  <c r="L35" i="6"/>
  <c r="D35" i="7" s="1"/>
  <c r="L31" i="6"/>
  <c r="D31" i="7" s="1"/>
  <c r="L27" i="6"/>
  <c r="D27" i="7" s="1"/>
  <c r="L23" i="6"/>
  <c r="D23" i="7" s="1"/>
  <c r="L19" i="6"/>
  <c r="D19" i="7" s="1"/>
  <c r="L15" i="6"/>
  <c r="D15" i="7" s="1"/>
  <c r="L11" i="6"/>
  <c r="D11" i="7" s="1"/>
  <c r="L7" i="6"/>
  <c r="D7" i="7" s="1"/>
  <c r="L26" i="6"/>
  <c r="D26" i="7" s="1"/>
  <c r="L22" i="6"/>
  <c r="D22" i="7" s="1"/>
  <c r="L18" i="6"/>
  <c r="D18" i="7" s="1"/>
  <c r="L14" i="6"/>
  <c r="D14" i="7" s="1"/>
  <c r="L10" i="6"/>
  <c r="D10" i="7" s="1"/>
  <c r="L6" i="6"/>
  <c r="D6" i="7" s="1"/>
  <c r="L157" i="6"/>
  <c r="D157" i="7" s="1"/>
  <c r="L153" i="6"/>
  <c r="D153" i="7" s="1"/>
  <c r="L149" i="6"/>
  <c r="D149" i="7" s="1"/>
  <c r="L145" i="6"/>
  <c r="D145" i="7" s="1"/>
  <c r="L141" i="6"/>
  <c r="D141" i="7" s="1"/>
  <c r="L137" i="6"/>
  <c r="D137" i="7" s="1"/>
  <c r="L133" i="6"/>
  <c r="D133" i="7" s="1"/>
  <c r="L129" i="6"/>
  <c r="D129" i="7" s="1"/>
  <c r="L125" i="6"/>
  <c r="D125" i="7" s="1"/>
  <c r="L121" i="6"/>
  <c r="D121" i="7" s="1"/>
  <c r="L117" i="6"/>
  <c r="D117" i="7" s="1"/>
  <c r="L113" i="6"/>
  <c r="D113" i="7" s="1"/>
  <c r="L109" i="6"/>
  <c r="D109" i="7" s="1"/>
  <c r="L105" i="6"/>
  <c r="D105" i="7" s="1"/>
  <c r="L101" i="6"/>
  <c r="D101" i="7" s="1"/>
  <c r="L97" i="6"/>
  <c r="D97" i="7" s="1"/>
  <c r="L93" i="6"/>
  <c r="D93" i="7" s="1"/>
  <c r="L89" i="6"/>
  <c r="D89" i="7" s="1"/>
  <c r="L85" i="6"/>
  <c r="D85" i="7" s="1"/>
  <c r="L81" i="6"/>
  <c r="D81" i="7" s="1"/>
  <c r="L77" i="6"/>
  <c r="D77" i="7" s="1"/>
  <c r="L73" i="6"/>
  <c r="D73" i="7" s="1"/>
  <c r="L69" i="6"/>
  <c r="D69" i="7" s="1"/>
  <c r="L65" i="6"/>
  <c r="D65" i="7" s="1"/>
  <c r="L61" i="6"/>
  <c r="D61" i="7" s="1"/>
  <c r="L57" i="6"/>
  <c r="D57" i="7" s="1"/>
  <c r="L53" i="6"/>
  <c r="D53" i="7" s="1"/>
  <c r="L49" i="6"/>
  <c r="D49" i="7" s="1"/>
  <c r="L45" i="6"/>
  <c r="D45" i="7" s="1"/>
  <c r="L41" i="6"/>
  <c r="D41" i="7" s="1"/>
  <c r="L37" i="6"/>
  <c r="D37" i="7" s="1"/>
  <c r="L33" i="6"/>
  <c r="D33" i="7" s="1"/>
  <c r="L29" i="6"/>
  <c r="D29" i="7" s="1"/>
  <c r="L25" i="6"/>
  <c r="D25" i="7" s="1"/>
  <c r="L21" i="6"/>
  <c r="D21" i="7" s="1"/>
  <c r="L17" i="6"/>
  <c r="D17" i="7" s="1"/>
  <c r="L13" i="6"/>
  <c r="D13" i="7" s="1"/>
  <c r="L9" i="6"/>
  <c r="D9" i="7" s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4" i="5"/>
  <c r="E320" i="5"/>
  <c r="E318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4" i="5"/>
  <c r="D320" i="5"/>
  <c r="D318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4" i="5"/>
  <c r="C320" i="5"/>
  <c r="C318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4" i="5"/>
  <c r="B320" i="5"/>
  <c r="B318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9" i="5"/>
  <c r="B4" i="5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F261" i="5" s="1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4" i="4"/>
  <c r="E318" i="4"/>
  <c r="I318" i="4"/>
  <c r="H6" i="4" s="1"/>
  <c r="M318" i="4"/>
  <c r="L7" i="4" s="1"/>
  <c r="Q318" i="4"/>
  <c r="P7" i="4" s="1"/>
  <c r="U318" i="4"/>
  <c r="T5" i="4" s="1"/>
  <c r="T8" i="4"/>
  <c r="T12" i="4"/>
  <c r="T16" i="4"/>
  <c r="T20" i="4"/>
  <c r="T24" i="4"/>
  <c r="T28" i="4"/>
  <c r="T32" i="4"/>
  <c r="T36" i="4"/>
  <c r="T40" i="4"/>
  <c r="T44" i="4"/>
  <c r="T48" i="4"/>
  <c r="T52" i="4"/>
  <c r="T56" i="4"/>
  <c r="T60" i="4"/>
  <c r="T64" i="4"/>
  <c r="T68" i="4"/>
  <c r="T72" i="4"/>
  <c r="T73" i="4"/>
  <c r="T76" i="4"/>
  <c r="T77" i="4"/>
  <c r="T80" i="4"/>
  <c r="T81" i="4"/>
  <c r="T84" i="4"/>
  <c r="T85" i="4"/>
  <c r="T88" i="4"/>
  <c r="T89" i="4"/>
  <c r="T92" i="4"/>
  <c r="T93" i="4"/>
  <c r="T96" i="4"/>
  <c r="T97" i="4"/>
  <c r="T100" i="4"/>
  <c r="T101" i="4"/>
  <c r="T104" i="4"/>
  <c r="T105" i="4"/>
  <c r="T108" i="4"/>
  <c r="T109" i="4"/>
  <c r="T112" i="4"/>
  <c r="T113" i="4"/>
  <c r="T116" i="4"/>
  <c r="T117" i="4"/>
  <c r="T120" i="4"/>
  <c r="T121" i="4"/>
  <c r="T124" i="4"/>
  <c r="T125" i="4"/>
  <c r="T128" i="4"/>
  <c r="T129" i="4"/>
  <c r="T132" i="4"/>
  <c r="T133" i="4"/>
  <c r="T136" i="4"/>
  <c r="T137" i="4"/>
  <c r="T140" i="4"/>
  <c r="T141" i="4"/>
  <c r="T144" i="4"/>
  <c r="T145" i="4"/>
  <c r="T148" i="4"/>
  <c r="T149" i="4"/>
  <c r="T152" i="4"/>
  <c r="T153" i="4"/>
  <c r="T156" i="4"/>
  <c r="T157" i="4"/>
  <c r="T160" i="4"/>
  <c r="T161" i="4"/>
  <c r="T164" i="4"/>
  <c r="T165" i="4"/>
  <c r="T168" i="4"/>
  <c r="T169" i="4"/>
  <c r="T172" i="4"/>
  <c r="T173" i="4"/>
  <c r="T176" i="4"/>
  <c r="T177" i="4"/>
  <c r="T180" i="4"/>
  <c r="T181" i="4"/>
  <c r="T184" i="4"/>
  <c r="T185" i="4"/>
  <c r="T188" i="4"/>
  <c r="T189" i="4"/>
  <c r="T192" i="4"/>
  <c r="T193" i="4"/>
  <c r="T196" i="4"/>
  <c r="T197" i="4"/>
  <c r="T200" i="4"/>
  <c r="T201" i="4"/>
  <c r="T204" i="4"/>
  <c r="T205" i="4"/>
  <c r="T208" i="4"/>
  <c r="T209" i="4"/>
  <c r="T212" i="4"/>
  <c r="T213" i="4"/>
  <c r="T216" i="4"/>
  <c r="T217" i="4"/>
  <c r="T220" i="4"/>
  <c r="T221" i="4"/>
  <c r="T224" i="4"/>
  <c r="T225" i="4"/>
  <c r="T228" i="4"/>
  <c r="T229" i="4"/>
  <c r="T232" i="4"/>
  <c r="T233" i="4"/>
  <c r="T236" i="4"/>
  <c r="T237" i="4"/>
  <c r="T240" i="4"/>
  <c r="T241" i="4"/>
  <c r="T244" i="4"/>
  <c r="T245" i="4"/>
  <c r="T248" i="4"/>
  <c r="T249" i="4"/>
  <c r="T252" i="4"/>
  <c r="T253" i="4"/>
  <c r="T256" i="4"/>
  <c r="T257" i="4"/>
  <c r="T260" i="4"/>
  <c r="T261" i="4"/>
  <c r="T264" i="4"/>
  <c r="T265" i="4"/>
  <c r="T268" i="4"/>
  <c r="T269" i="4"/>
  <c r="T272" i="4"/>
  <c r="T273" i="4"/>
  <c r="T276" i="4"/>
  <c r="T277" i="4"/>
  <c r="T280" i="4"/>
  <c r="T281" i="4"/>
  <c r="T284" i="4"/>
  <c r="T285" i="4"/>
  <c r="T288" i="4"/>
  <c r="T289" i="4"/>
  <c r="T292" i="4"/>
  <c r="T293" i="4"/>
  <c r="T296" i="4"/>
  <c r="T297" i="4"/>
  <c r="T300" i="4"/>
  <c r="T301" i="4"/>
  <c r="T304" i="4"/>
  <c r="T305" i="4"/>
  <c r="T308" i="4"/>
  <c r="T309" i="4"/>
  <c r="T312" i="4"/>
  <c r="T313" i="4"/>
  <c r="T316" i="4"/>
  <c r="T317" i="4"/>
  <c r="B318" i="4"/>
  <c r="P6" i="4"/>
  <c r="P10" i="4"/>
  <c r="P14" i="4"/>
  <c r="P18" i="4"/>
  <c r="P22" i="4"/>
  <c r="P26" i="4"/>
  <c r="P30" i="4"/>
  <c r="P34" i="4"/>
  <c r="P38" i="4"/>
  <c r="P42" i="4"/>
  <c r="P46" i="4"/>
  <c r="P50" i="4"/>
  <c r="P54" i="4"/>
  <c r="P58" i="4"/>
  <c r="P62" i="4"/>
  <c r="P66" i="4"/>
  <c r="P70" i="4"/>
  <c r="P74" i="4"/>
  <c r="P78" i="4"/>
  <c r="P80" i="4"/>
  <c r="P82" i="4"/>
  <c r="P84" i="4"/>
  <c r="P86" i="4"/>
  <c r="P88" i="4"/>
  <c r="P90" i="4"/>
  <c r="P92" i="4"/>
  <c r="P94" i="4"/>
  <c r="P96" i="4"/>
  <c r="P98" i="4"/>
  <c r="P100" i="4"/>
  <c r="P102" i="4"/>
  <c r="P104" i="4"/>
  <c r="P106" i="4"/>
  <c r="P108" i="4"/>
  <c r="P110" i="4"/>
  <c r="P112" i="4"/>
  <c r="P114" i="4"/>
  <c r="P116" i="4"/>
  <c r="P118" i="4"/>
  <c r="P120" i="4"/>
  <c r="P122" i="4"/>
  <c r="P124" i="4"/>
  <c r="P126" i="4"/>
  <c r="P128" i="4"/>
  <c r="P130" i="4"/>
  <c r="P132" i="4"/>
  <c r="P134" i="4"/>
  <c r="P136" i="4"/>
  <c r="P138" i="4"/>
  <c r="P140" i="4"/>
  <c r="P142" i="4"/>
  <c r="P144" i="4"/>
  <c r="P146" i="4"/>
  <c r="P148" i="4"/>
  <c r="P150" i="4"/>
  <c r="P152" i="4"/>
  <c r="P154" i="4"/>
  <c r="P156" i="4"/>
  <c r="P158" i="4"/>
  <c r="P160" i="4"/>
  <c r="P162" i="4"/>
  <c r="P164" i="4"/>
  <c r="P166" i="4"/>
  <c r="P168" i="4"/>
  <c r="P170" i="4"/>
  <c r="P172" i="4"/>
  <c r="P174" i="4"/>
  <c r="P176" i="4"/>
  <c r="P178" i="4"/>
  <c r="P180" i="4"/>
  <c r="P182" i="4"/>
  <c r="P184" i="4"/>
  <c r="P186" i="4"/>
  <c r="P188" i="4"/>
  <c r="P190" i="4"/>
  <c r="P192" i="4"/>
  <c r="P194" i="4"/>
  <c r="P196" i="4"/>
  <c r="P198" i="4"/>
  <c r="P200" i="4"/>
  <c r="P202" i="4"/>
  <c r="P204" i="4"/>
  <c r="P206" i="4"/>
  <c r="P208" i="4"/>
  <c r="P210" i="4"/>
  <c r="P212" i="4"/>
  <c r="P214" i="4"/>
  <c r="P216" i="4"/>
  <c r="P218" i="4"/>
  <c r="P220" i="4"/>
  <c r="P222" i="4"/>
  <c r="P224" i="4"/>
  <c r="P226" i="4"/>
  <c r="P228" i="4"/>
  <c r="P230" i="4"/>
  <c r="P232" i="4"/>
  <c r="P234" i="4"/>
  <c r="P236" i="4"/>
  <c r="P238" i="4"/>
  <c r="P240" i="4"/>
  <c r="P242" i="4"/>
  <c r="P244" i="4"/>
  <c r="P246" i="4"/>
  <c r="P248" i="4"/>
  <c r="P250" i="4"/>
  <c r="P252" i="4"/>
  <c r="P254" i="4"/>
  <c r="P256" i="4"/>
  <c r="P258" i="4"/>
  <c r="P260" i="4"/>
  <c r="P262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4" i="4"/>
  <c r="L6" i="4"/>
  <c r="L10" i="4"/>
  <c r="L14" i="4"/>
  <c r="L15" i="4"/>
  <c r="L18" i="4"/>
  <c r="L19" i="4"/>
  <c r="L22" i="4"/>
  <c r="L23" i="4"/>
  <c r="L26" i="4"/>
  <c r="L27" i="4"/>
  <c r="L30" i="4"/>
  <c r="L31" i="4"/>
  <c r="L34" i="4"/>
  <c r="L35" i="4"/>
  <c r="L38" i="4"/>
  <c r="L39" i="4"/>
  <c r="L42" i="4"/>
  <c r="L43" i="4"/>
  <c r="L46" i="4"/>
  <c r="L47" i="4"/>
  <c r="L50" i="4"/>
  <c r="L51" i="4"/>
  <c r="L54" i="4"/>
  <c r="L55" i="4"/>
  <c r="L58" i="4"/>
  <c r="L59" i="4"/>
  <c r="L62" i="4"/>
  <c r="L63" i="4"/>
  <c r="L66" i="4"/>
  <c r="L67" i="4"/>
  <c r="L70" i="4"/>
  <c r="L71" i="4"/>
  <c r="L74" i="4"/>
  <c r="L75" i="4"/>
  <c r="L78" i="4"/>
  <c r="L79" i="4"/>
  <c r="L82" i="4"/>
  <c r="L83" i="4"/>
  <c r="L86" i="4"/>
  <c r="L87" i="4"/>
  <c r="L90" i="4"/>
  <c r="L91" i="4"/>
  <c r="L94" i="4"/>
  <c r="L95" i="4"/>
  <c r="L98" i="4"/>
  <c r="L99" i="4"/>
  <c r="L102" i="4"/>
  <c r="L103" i="4"/>
  <c r="L106" i="4"/>
  <c r="L107" i="4"/>
  <c r="L110" i="4"/>
  <c r="L111" i="4"/>
  <c r="L114" i="4"/>
  <c r="L115" i="4"/>
  <c r="L118" i="4"/>
  <c r="L119" i="4"/>
  <c r="L122" i="4"/>
  <c r="L123" i="4"/>
  <c r="L126" i="4"/>
  <c r="L127" i="4"/>
  <c r="L130" i="4"/>
  <c r="L131" i="4"/>
  <c r="L134" i="4"/>
  <c r="L135" i="4"/>
  <c r="L138" i="4"/>
  <c r="L139" i="4"/>
  <c r="L142" i="4"/>
  <c r="L143" i="4"/>
  <c r="L146" i="4"/>
  <c r="L147" i="4"/>
  <c r="L150" i="4"/>
  <c r="L151" i="4"/>
  <c r="L154" i="4"/>
  <c r="L155" i="4"/>
  <c r="L158" i="4"/>
  <c r="L159" i="4"/>
  <c r="L162" i="4"/>
  <c r="L163" i="4"/>
  <c r="L166" i="4"/>
  <c r="L167" i="4"/>
  <c r="L170" i="4"/>
  <c r="L171" i="4"/>
  <c r="L174" i="4"/>
  <c r="L175" i="4"/>
  <c r="L178" i="4"/>
  <c r="L179" i="4"/>
  <c r="L182" i="4"/>
  <c r="L183" i="4"/>
  <c r="L186" i="4"/>
  <c r="L187" i="4"/>
  <c r="L190" i="4"/>
  <c r="L191" i="4"/>
  <c r="L194" i="4"/>
  <c r="L195" i="4"/>
  <c r="L198" i="4"/>
  <c r="L199" i="4"/>
  <c r="L200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4" i="4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H85" i="4"/>
  <c r="H87" i="4"/>
  <c r="H89" i="4"/>
  <c r="H91" i="4"/>
  <c r="H93" i="4"/>
  <c r="H95" i="4"/>
  <c r="H97" i="4"/>
  <c r="H99" i="4"/>
  <c r="H101" i="4"/>
  <c r="H103" i="4"/>
  <c r="H105" i="4"/>
  <c r="H107" i="4"/>
  <c r="H109" i="4"/>
  <c r="H111" i="4"/>
  <c r="H113" i="4"/>
  <c r="H115" i="4"/>
  <c r="H117" i="4"/>
  <c r="H119" i="4"/>
  <c r="H121" i="4"/>
  <c r="H123" i="4"/>
  <c r="H125" i="4"/>
  <c r="H127" i="4"/>
  <c r="H129" i="4"/>
  <c r="H131" i="4"/>
  <c r="H133" i="4"/>
  <c r="H135" i="4"/>
  <c r="H137" i="4"/>
  <c r="H139" i="4"/>
  <c r="H141" i="4"/>
  <c r="H143" i="4"/>
  <c r="H145" i="4"/>
  <c r="H147" i="4"/>
  <c r="H149" i="4"/>
  <c r="H151" i="4"/>
  <c r="H153" i="4"/>
  <c r="H155" i="4"/>
  <c r="H157" i="4"/>
  <c r="H159" i="4"/>
  <c r="H161" i="4"/>
  <c r="H163" i="4"/>
  <c r="H165" i="4"/>
  <c r="H167" i="4"/>
  <c r="H169" i="4"/>
  <c r="H171" i="4"/>
  <c r="H173" i="4"/>
  <c r="H175" i="4"/>
  <c r="H177" i="4"/>
  <c r="H179" i="4"/>
  <c r="H181" i="4"/>
  <c r="H183" i="4"/>
  <c r="H185" i="4"/>
  <c r="H186" i="4"/>
  <c r="H187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5" i="4"/>
  <c r="K317" i="4"/>
  <c r="K316" i="4"/>
  <c r="K311" i="4"/>
  <c r="K302" i="4"/>
  <c r="K303" i="4"/>
  <c r="K301" i="4"/>
  <c r="K296" i="4"/>
  <c r="K297" i="4"/>
  <c r="K298" i="4"/>
  <c r="K295" i="4"/>
  <c r="K292" i="4"/>
  <c r="K293" i="4"/>
  <c r="K291" i="4"/>
  <c r="K286" i="4"/>
  <c r="K282" i="4"/>
  <c r="K280" i="4"/>
  <c r="K277" i="4"/>
  <c r="K276" i="4"/>
  <c r="K271" i="4"/>
  <c r="K268" i="4"/>
  <c r="K269" i="4"/>
  <c r="K267" i="4"/>
  <c r="K264" i="4"/>
  <c r="K261" i="4"/>
  <c r="K260" i="4"/>
  <c r="K258" i="4"/>
  <c r="K257" i="4"/>
  <c r="K255" i="4"/>
  <c r="K238" i="4"/>
  <c r="K234" i="4"/>
  <c r="K233" i="4"/>
  <c r="K231" i="4"/>
  <c r="K229" i="4"/>
  <c r="K225" i="4"/>
  <c r="K220" i="4"/>
  <c r="K221" i="4"/>
  <c r="K222" i="4"/>
  <c r="K223" i="4"/>
  <c r="K219" i="4"/>
  <c r="K214" i="4"/>
  <c r="K211" i="4"/>
  <c r="K209" i="4"/>
  <c r="K206" i="4"/>
  <c r="K205" i="4"/>
  <c r="K199" i="4"/>
  <c r="K198" i="4"/>
  <c r="K193" i="4"/>
  <c r="K191" i="4"/>
  <c r="K187" i="4"/>
  <c r="K186" i="4"/>
  <c r="K183" i="4"/>
  <c r="K182" i="4"/>
  <c r="K179" i="4"/>
  <c r="K180" i="4"/>
  <c r="K178" i="4"/>
  <c r="K174" i="4"/>
  <c r="K163" i="4"/>
  <c r="K164" i="4"/>
  <c r="K165" i="4"/>
  <c r="K166" i="4"/>
  <c r="K167" i="4"/>
  <c r="K168" i="4"/>
  <c r="K169" i="4"/>
  <c r="K170" i="4"/>
  <c r="K162" i="4"/>
  <c r="K160" i="4"/>
  <c r="K158" i="4"/>
  <c r="K156" i="4"/>
  <c r="K154" i="4"/>
  <c r="K151" i="4"/>
  <c r="K150" i="4"/>
  <c r="K146" i="4"/>
  <c r="K147" i="4"/>
  <c r="K145" i="4"/>
  <c r="K140" i="4"/>
  <c r="K141" i="4"/>
  <c r="K142" i="4"/>
  <c r="K139" i="4"/>
  <c r="K136" i="4"/>
  <c r="K129" i="4"/>
  <c r="K130" i="4"/>
  <c r="K128" i="4"/>
  <c r="K126" i="4"/>
  <c r="K124" i="4"/>
  <c r="K121" i="4"/>
  <c r="K122" i="4"/>
  <c r="K120" i="4"/>
  <c r="K107" i="4"/>
  <c r="K108" i="4"/>
  <c r="K109" i="4"/>
  <c r="K110" i="4"/>
  <c r="K111" i="4"/>
  <c r="K112" i="4"/>
  <c r="K113" i="4"/>
  <c r="K114" i="4"/>
  <c r="K115" i="4"/>
  <c r="K116" i="4"/>
  <c r="K106" i="4"/>
  <c r="K104" i="4"/>
  <c r="K102" i="4"/>
  <c r="K94" i="4"/>
  <c r="K95" i="4"/>
  <c r="K96" i="4"/>
  <c r="K93" i="4"/>
  <c r="K91" i="4"/>
  <c r="K90" i="4"/>
  <c r="K66" i="4"/>
  <c r="K67" i="4"/>
  <c r="K68" i="4"/>
  <c r="K65" i="4"/>
  <c r="K62" i="4"/>
  <c r="K58" i="4"/>
  <c r="K59" i="4"/>
  <c r="K57" i="4"/>
  <c r="K55" i="4"/>
  <c r="K54" i="4"/>
  <c r="K51" i="4"/>
  <c r="K48" i="4"/>
  <c r="K46" i="4"/>
  <c r="K45" i="4"/>
  <c r="K41" i="4"/>
  <c r="K40" i="4"/>
  <c r="K34" i="4"/>
  <c r="K32" i="4"/>
  <c r="K29" i="4"/>
  <c r="K25" i="4"/>
  <c r="K26" i="4"/>
  <c r="K27" i="4"/>
  <c r="K24" i="4"/>
  <c r="K22" i="4"/>
  <c r="K18" i="4"/>
  <c r="K19" i="4"/>
  <c r="K20" i="4"/>
  <c r="K17" i="4"/>
  <c r="K15" i="4"/>
  <c r="K14" i="4"/>
  <c r="K11" i="4"/>
  <c r="K7" i="4"/>
  <c r="K5" i="4"/>
  <c r="G317" i="4"/>
  <c r="G316" i="4"/>
  <c r="G298" i="4"/>
  <c r="G297" i="4"/>
  <c r="G291" i="4"/>
  <c r="G280" i="4"/>
  <c r="G277" i="4"/>
  <c r="G276" i="4"/>
  <c r="G223" i="4"/>
  <c r="G206" i="4"/>
  <c r="G205" i="4"/>
  <c r="G191" i="4"/>
  <c r="G183" i="4"/>
  <c r="G179" i="4"/>
  <c r="G178" i="4"/>
  <c r="G158" i="4"/>
  <c r="G151" i="4"/>
  <c r="G150" i="4"/>
  <c r="G142" i="4"/>
  <c r="G140" i="4"/>
  <c r="G139" i="4"/>
  <c r="G136" i="4"/>
  <c r="G129" i="4"/>
  <c r="G128" i="4"/>
  <c r="G124" i="4"/>
  <c r="G121" i="4"/>
  <c r="G122" i="4"/>
  <c r="G120" i="4"/>
  <c r="G111" i="4"/>
  <c r="G112" i="4"/>
  <c r="G110" i="4"/>
  <c r="G108" i="4"/>
  <c r="G107" i="4"/>
  <c r="G102" i="4"/>
  <c r="G96" i="4"/>
  <c r="G93" i="4"/>
  <c r="G91" i="4"/>
  <c r="G90" i="4"/>
  <c r="G82" i="4"/>
  <c r="G65" i="4"/>
  <c r="G59" i="4"/>
  <c r="G57" i="4"/>
  <c r="G55" i="4"/>
  <c r="G54" i="4"/>
  <c r="G51" i="4"/>
  <c r="G46" i="4"/>
  <c r="G45" i="4"/>
  <c r="G41" i="4"/>
  <c r="G40" i="4"/>
  <c r="G34" i="4"/>
  <c r="G24" i="4"/>
  <c r="G22" i="4"/>
  <c r="G18" i="4"/>
  <c r="G17" i="4"/>
  <c r="G14" i="4"/>
  <c r="G5" i="4"/>
  <c r="D8" i="3" l="1"/>
  <c r="F8" i="3"/>
  <c r="H8" i="3"/>
  <c r="F65" i="5"/>
  <c r="F318" i="5" s="1"/>
  <c r="F320" i="5" s="1"/>
  <c r="B8" i="3"/>
  <c r="D318" i="7"/>
  <c r="C318" i="7"/>
  <c r="E318" i="7"/>
  <c r="F318" i="7"/>
  <c r="G318" i="7"/>
  <c r="H188" i="4"/>
  <c r="H184" i="4"/>
  <c r="H180" i="4"/>
  <c r="H176" i="4"/>
  <c r="H172" i="4"/>
  <c r="H168" i="4"/>
  <c r="H164" i="4"/>
  <c r="H160" i="4"/>
  <c r="H156" i="4"/>
  <c r="H152" i="4"/>
  <c r="H148" i="4"/>
  <c r="H144" i="4"/>
  <c r="H140" i="4"/>
  <c r="H136" i="4"/>
  <c r="H132" i="4"/>
  <c r="H128" i="4"/>
  <c r="H124" i="4"/>
  <c r="H120" i="4"/>
  <c r="H116" i="4"/>
  <c r="H112" i="4"/>
  <c r="H108" i="4"/>
  <c r="H104" i="4"/>
  <c r="H100" i="4"/>
  <c r="H96" i="4"/>
  <c r="H92" i="4"/>
  <c r="H88" i="4"/>
  <c r="H84" i="4"/>
  <c r="H80" i="4"/>
  <c r="H76" i="4"/>
  <c r="H72" i="4"/>
  <c r="H68" i="4"/>
  <c r="H64" i="4"/>
  <c r="H60" i="4"/>
  <c r="H56" i="4"/>
  <c r="H52" i="4"/>
  <c r="H48" i="4"/>
  <c r="H44" i="4"/>
  <c r="H40" i="4"/>
  <c r="H36" i="4"/>
  <c r="H32" i="4"/>
  <c r="H28" i="4"/>
  <c r="H24" i="4"/>
  <c r="H20" i="4"/>
  <c r="H16" i="4"/>
  <c r="H12" i="4"/>
  <c r="H8" i="4"/>
  <c r="H318" i="4" s="1"/>
  <c r="H182" i="4"/>
  <c r="H178" i="4"/>
  <c r="H174" i="4"/>
  <c r="H170" i="4"/>
  <c r="H166" i="4"/>
  <c r="H162" i="4"/>
  <c r="H158" i="4"/>
  <c r="H154" i="4"/>
  <c r="H150" i="4"/>
  <c r="H146" i="4"/>
  <c r="H142" i="4"/>
  <c r="H138" i="4"/>
  <c r="H134" i="4"/>
  <c r="H130" i="4"/>
  <c r="H126" i="4"/>
  <c r="H122" i="4"/>
  <c r="H118" i="4"/>
  <c r="H114" i="4"/>
  <c r="H110" i="4"/>
  <c r="H106" i="4"/>
  <c r="H102" i="4"/>
  <c r="H98" i="4"/>
  <c r="H94" i="4"/>
  <c r="H90" i="4"/>
  <c r="H86" i="4"/>
  <c r="H82" i="4"/>
  <c r="H78" i="4"/>
  <c r="H74" i="4"/>
  <c r="H70" i="4"/>
  <c r="H66" i="4"/>
  <c r="H62" i="4"/>
  <c r="H58" i="4"/>
  <c r="H54" i="4"/>
  <c r="H50" i="4"/>
  <c r="H46" i="4"/>
  <c r="H42" i="4"/>
  <c r="H38" i="4"/>
  <c r="H34" i="4"/>
  <c r="H30" i="4"/>
  <c r="H26" i="4"/>
  <c r="H22" i="4"/>
  <c r="H18" i="4"/>
  <c r="H14" i="4"/>
  <c r="H10" i="4"/>
  <c r="L201" i="4"/>
  <c r="L197" i="4"/>
  <c r="L193" i="4"/>
  <c r="L189" i="4"/>
  <c r="L185" i="4"/>
  <c r="L181" i="4"/>
  <c r="L177" i="4"/>
  <c r="L173" i="4"/>
  <c r="L169" i="4"/>
  <c r="L165" i="4"/>
  <c r="L161" i="4"/>
  <c r="L157" i="4"/>
  <c r="L153" i="4"/>
  <c r="L149" i="4"/>
  <c r="L145" i="4"/>
  <c r="L141" i="4"/>
  <c r="L137" i="4"/>
  <c r="L133" i="4"/>
  <c r="L129" i="4"/>
  <c r="L125" i="4"/>
  <c r="L121" i="4"/>
  <c r="L117" i="4"/>
  <c r="L113" i="4"/>
  <c r="L109" i="4"/>
  <c r="L105" i="4"/>
  <c r="L101" i="4"/>
  <c r="L97" i="4"/>
  <c r="L93" i="4"/>
  <c r="L89" i="4"/>
  <c r="L85" i="4"/>
  <c r="L81" i="4"/>
  <c r="L77" i="4"/>
  <c r="L73" i="4"/>
  <c r="L69" i="4"/>
  <c r="L65" i="4"/>
  <c r="L61" i="4"/>
  <c r="L57" i="4"/>
  <c r="L53" i="4"/>
  <c r="L49" i="4"/>
  <c r="L45" i="4"/>
  <c r="L41" i="4"/>
  <c r="L37" i="4"/>
  <c r="L33" i="4"/>
  <c r="L29" i="4"/>
  <c r="L25" i="4"/>
  <c r="L21" i="4"/>
  <c r="L17" i="4"/>
  <c r="L13" i="4"/>
  <c r="L9" i="4"/>
  <c r="L318" i="4" s="1"/>
  <c r="L5" i="4"/>
  <c r="L196" i="4"/>
  <c r="L192" i="4"/>
  <c r="L188" i="4"/>
  <c r="L184" i="4"/>
  <c r="L180" i="4"/>
  <c r="L176" i="4"/>
  <c r="L172" i="4"/>
  <c r="L168" i="4"/>
  <c r="L164" i="4"/>
  <c r="L160" i="4"/>
  <c r="L156" i="4"/>
  <c r="L152" i="4"/>
  <c r="L148" i="4"/>
  <c r="L144" i="4"/>
  <c r="L140" i="4"/>
  <c r="L136" i="4"/>
  <c r="L132" i="4"/>
  <c r="L128" i="4"/>
  <c r="L124" i="4"/>
  <c r="L120" i="4"/>
  <c r="L116" i="4"/>
  <c r="L112" i="4"/>
  <c r="L108" i="4"/>
  <c r="L104" i="4"/>
  <c r="L100" i="4"/>
  <c r="L96" i="4"/>
  <c r="L92" i="4"/>
  <c r="L88" i="4"/>
  <c r="L84" i="4"/>
  <c r="L80" i="4"/>
  <c r="L76" i="4"/>
  <c r="L72" i="4"/>
  <c r="L68" i="4"/>
  <c r="L64" i="4"/>
  <c r="L60" i="4"/>
  <c r="L56" i="4"/>
  <c r="L52" i="4"/>
  <c r="L48" i="4"/>
  <c r="L44" i="4"/>
  <c r="L40" i="4"/>
  <c r="L36" i="4"/>
  <c r="L32" i="4"/>
  <c r="L28" i="4"/>
  <c r="L24" i="4"/>
  <c r="L20" i="4"/>
  <c r="L16" i="4"/>
  <c r="L12" i="4"/>
  <c r="L8" i="4"/>
  <c r="L11" i="4"/>
  <c r="P261" i="4"/>
  <c r="P257" i="4"/>
  <c r="P253" i="4"/>
  <c r="P249" i="4"/>
  <c r="P245" i="4"/>
  <c r="P241" i="4"/>
  <c r="P237" i="4"/>
  <c r="P233" i="4"/>
  <c r="P229" i="4"/>
  <c r="P225" i="4"/>
  <c r="P221" i="4"/>
  <c r="P217" i="4"/>
  <c r="P213" i="4"/>
  <c r="P209" i="4"/>
  <c r="P205" i="4"/>
  <c r="P201" i="4"/>
  <c r="P197" i="4"/>
  <c r="P193" i="4"/>
  <c r="P189" i="4"/>
  <c r="P185" i="4"/>
  <c r="P181" i="4"/>
  <c r="P177" i="4"/>
  <c r="P173" i="4"/>
  <c r="P169" i="4"/>
  <c r="P165" i="4"/>
  <c r="P161" i="4"/>
  <c r="P157" i="4"/>
  <c r="P153" i="4"/>
  <c r="P149" i="4"/>
  <c r="P145" i="4"/>
  <c r="P141" i="4"/>
  <c r="P137" i="4"/>
  <c r="P133" i="4"/>
  <c r="P129" i="4"/>
  <c r="P125" i="4"/>
  <c r="P121" i="4"/>
  <c r="P117" i="4"/>
  <c r="P113" i="4"/>
  <c r="P109" i="4"/>
  <c r="P105" i="4"/>
  <c r="P101" i="4"/>
  <c r="P97" i="4"/>
  <c r="P93" i="4"/>
  <c r="P89" i="4"/>
  <c r="P85" i="4"/>
  <c r="P81" i="4"/>
  <c r="P77" i="4"/>
  <c r="P73" i="4"/>
  <c r="P69" i="4"/>
  <c r="P65" i="4"/>
  <c r="P61" i="4"/>
  <c r="P57" i="4"/>
  <c r="P53" i="4"/>
  <c r="P49" i="4"/>
  <c r="P45" i="4"/>
  <c r="P41" i="4"/>
  <c r="P37" i="4"/>
  <c r="P33" i="4"/>
  <c r="P29" i="4"/>
  <c r="P25" i="4"/>
  <c r="P21" i="4"/>
  <c r="P17" i="4"/>
  <c r="P13" i="4"/>
  <c r="P9" i="4"/>
  <c r="P5" i="4"/>
  <c r="P318" i="4" s="1"/>
  <c r="P76" i="4"/>
  <c r="P72" i="4"/>
  <c r="P68" i="4"/>
  <c r="P64" i="4"/>
  <c r="P60" i="4"/>
  <c r="P56" i="4"/>
  <c r="P52" i="4"/>
  <c r="P48" i="4"/>
  <c r="P44" i="4"/>
  <c r="P40" i="4"/>
  <c r="P36" i="4"/>
  <c r="P32" i="4"/>
  <c r="P28" i="4"/>
  <c r="P24" i="4"/>
  <c r="P20" i="4"/>
  <c r="P16" i="4"/>
  <c r="P12" i="4"/>
  <c r="P8" i="4"/>
  <c r="P263" i="4"/>
  <c r="P259" i="4"/>
  <c r="P255" i="4"/>
  <c r="P251" i="4"/>
  <c r="P247" i="4"/>
  <c r="P243" i="4"/>
  <c r="P239" i="4"/>
  <c r="P235" i="4"/>
  <c r="P231" i="4"/>
  <c r="P227" i="4"/>
  <c r="P223" i="4"/>
  <c r="P219" i="4"/>
  <c r="P215" i="4"/>
  <c r="P211" i="4"/>
  <c r="P207" i="4"/>
  <c r="P203" i="4"/>
  <c r="P199" i="4"/>
  <c r="P195" i="4"/>
  <c r="P191" i="4"/>
  <c r="P187" i="4"/>
  <c r="P183" i="4"/>
  <c r="P179" i="4"/>
  <c r="P175" i="4"/>
  <c r="P171" i="4"/>
  <c r="P167" i="4"/>
  <c r="P163" i="4"/>
  <c r="P159" i="4"/>
  <c r="P155" i="4"/>
  <c r="P151" i="4"/>
  <c r="P147" i="4"/>
  <c r="P143" i="4"/>
  <c r="P139" i="4"/>
  <c r="P135" i="4"/>
  <c r="P131" i="4"/>
  <c r="P127" i="4"/>
  <c r="P123" i="4"/>
  <c r="P119" i="4"/>
  <c r="P115" i="4"/>
  <c r="P111" i="4"/>
  <c r="P107" i="4"/>
  <c r="P103" i="4"/>
  <c r="P99" i="4"/>
  <c r="P95" i="4"/>
  <c r="P91" i="4"/>
  <c r="P87" i="4"/>
  <c r="P83" i="4"/>
  <c r="P79" i="4"/>
  <c r="P75" i="4"/>
  <c r="P71" i="4"/>
  <c r="P67" i="4"/>
  <c r="P63" i="4"/>
  <c r="P59" i="4"/>
  <c r="P55" i="4"/>
  <c r="P51" i="4"/>
  <c r="P47" i="4"/>
  <c r="P43" i="4"/>
  <c r="P39" i="4"/>
  <c r="P35" i="4"/>
  <c r="P31" i="4"/>
  <c r="P27" i="4"/>
  <c r="P23" i="4"/>
  <c r="P19" i="4"/>
  <c r="P15" i="4"/>
  <c r="P11" i="4"/>
  <c r="T315" i="4"/>
  <c r="T311" i="4"/>
  <c r="T307" i="4"/>
  <c r="T303" i="4"/>
  <c r="T299" i="4"/>
  <c r="T295" i="4"/>
  <c r="T291" i="4"/>
  <c r="T287" i="4"/>
  <c r="T283" i="4"/>
  <c r="T279" i="4"/>
  <c r="T275" i="4"/>
  <c r="T271" i="4"/>
  <c r="T267" i="4"/>
  <c r="T263" i="4"/>
  <c r="T259" i="4"/>
  <c r="T255" i="4"/>
  <c r="T251" i="4"/>
  <c r="T247" i="4"/>
  <c r="T243" i="4"/>
  <c r="T239" i="4"/>
  <c r="T235" i="4"/>
  <c r="T231" i="4"/>
  <c r="T227" i="4"/>
  <c r="T223" i="4"/>
  <c r="T219" i="4"/>
  <c r="T215" i="4"/>
  <c r="T211" i="4"/>
  <c r="T207" i="4"/>
  <c r="T203" i="4"/>
  <c r="T199" i="4"/>
  <c r="T195" i="4"/>
  <c r="T191" i="4"/>
  <c r="T187" i="4"/>
  <c r="T183" i="4"/>
  <c r="T179" i="4"/>
  <c r="T175" i="4"/>
  <c r="T171" i="4"/>
  <c r="T167" i="4"/>
  <c r="T163" i="4"/>
  <c r="T159" i="4"/>
  <c r="T155" i="4"/>
  <c r="T151" i="4"/>
  <c r="T147" i="4"/>
  <c r="T143" i="4"/>
  <c r="T139" i="4"/>
  <c r="T135" i="4"/>
  <c r="T131" i="4"/>
  <c r="T127" i="4"/>
  <c r="T123" i="4"/>
  <c r="T119" i="4"/>
  <c r="T115" i="4"/>
  <c r="T111" i="4"/>
  <c r="T107" i="4"/>
  <c r="T103" i="4"/>
  <c r="T99" i="4"/>
  <c r="T95" i="4"/>
  <c r="T91" i="4"/>
  <c r="T87" i="4"/>
  <c r="T83" i="4"/>
  <c r="T79" i="4"/>
  <c r="T75" i="4"/>
  <c r="T71" i="4"/>
  <c r="T67" i="4"/>
  <c r="T63" i="4"/>
  <c r="T59" i="4"/>
  <c r="T55" i="4"/>
  <c r="T51" i="4"/>
  <c r="T47" i="4"/>
  <c r="T43" i="4"/>
  <c r="T39" i="4"/>
  <c r="T35" i="4"/>
  <c r="T31" i="4"/>
  <c r="T27" i="4"/>
  <c r="T23" i="4"/>
  <c r="T19" i="4"/>
  <c r="T15" i="4"/>
  <c r="T11" i="4"/>
  <c r="T7" i="4"/>
  <c r="T4" i="4"/>
  <c r="T314" i="4"/>
  <c r="T310" i="4"/>
  <c r="T306" i="4"/>
  <c r="T302" i="4"/>
  <c r="T298" i="4"/>
  <c r="T294" i="4"/>
  <c r="T290" i="4"/>
  <c r="T286" i="4"/>
  <c r="T282" i="4"/>
  <c r="T278" i="4"/>
  <c r="T274" i="4"/>
  <c r="T270" i="4"/>
  <c r="T266" i="4"/>
  <c r="T262" i="4"/>
  <c r="T258" i="4"/>
  <c r="T254" i="4"/>
  <c r="T250" i="4"/>
  <c r="T246" i="4"/>
  <c r="T242" i="4"/>
  <c r="T238" i="4"/>
  <c r="T234" i="4"/>
  <c r="T230" i="4"/>
  <c r="T226" i="4"/>
  <c r="T222" i="4"/>
  <c r="T218" i="4"/>
  <c r="T214" i="4"/>
  <c r="T210" i="4"/>
  <c r="T206" i="4"/>
  <c r="T202" i="4"/>
  <c r="T198" i="4"/>
  <c r="T194" i="4"/>
  <c r="T190" i="4"/>
  <c r="T186" i="4"/>
  <c r="T182" i="4"/>
  <c r="T178" i="4"/>
  <c r="T174" i="4"/>
  <c r="T170" i="4"/>
  <c r="T166" i="4"/>
  <c r="T162" i="4"/>
  <c r="T158" i="4"/>
  <c r="T154" i="4"/>
  <c r="T150" i="4"/>
  <c r="T146" i="4"/>
  <c r="T142" i="4"/>
  <c r="T138" i="4"/>
  <c r="T134" i="4"/>
  <c r="T130" i="4"/>
  <c r="T126" i="4"/>
  <c r="T122" i="4"/>
  <c r="T118" i="4"/>
  <c r="T114" i="4"/>
  <c r="T110" i="4"/>
  <c r="T106" i="4"/>
  <c r="T102" i="4"/>
  <c r="T98" i="4"/>
  <c r="T94" i="4"/>
  <c r="T90" i="4"/>
  <c r="T86" i="4"/>
  <c r="T82" i="4"/>
  <c r="T78" i="4"/>
  <c r="T74" i="4"/>
  <c r="T70" i="4"/>
  <c r="T66" i="4"/>
  <c r="T62" i="4"/>
  <c r="T58" i="4"/>
  <c r="T54" i="4"/>
  <c r="T50" i="4"/>
  <c r="T46" i="4"/>
  <c r="T42" i="4"/>
  <c r="T38" i="4"/>
  <c r="T34" i="4"/>
  <c r="T30" i="4"/>
  <c r="T26" i="4"/>
  <c r="T22" i="4"/>
  <c r="T18" i="4"/>
  <c r="T14" i="4"/>
  <c r="T10" i="4"/>
  <c r="T318" i="4" s="1"/>
  <c r="T6" i="4"/>
  <c r="T69" i="4"/>
  <c r="T65" i="4"/>
  <c r="T61" i="4"/>
  <c r="T57" i="4"/>
  <c r="T53" i="4"/>
  <c r="T49" i="4"/>
  <c r="T45" i="4"/>
  <c r="T41" i="4"/>
  <c r="T37" i="4"/>
  <c r="T33" i="4"/>
  <c r="T29" i="4"/>
  <c r="T25" i="4"/>
  <c r="T21" i="4"/>
  <c r="T17" i="4"/>
  <c r="T13" i="4"/>
  <c r="T9" i="4"/>
  <c r="G8" i="3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5" i="4"/>
  <c r="D318" i="4" l="1"/>
  <c r="C13" i="3" l="1"/>
  <c r="C10" i="3"/>
  <c r="E14" i="3"/>
  <c r="E11" i="3"/>
  <c r="E9" i="3"/>
  <c r="E10" i="3"/>
  <c r="E12" i="3"/>
  <c r="C11" i="3"/>
  <c r="C9" i="3"/>
  <c r="C14" i="3"/>
  <c r="C12" i="3"/>
  <c r="E13" i="3"/>
  <c r="E8" i="3"/>
  <c r="E6" i="3"/>
  <c r="C4" i="3"/>
  <c r="C5" i="3"/>
  <c r="C6" i="3"/>
  <c r="E4" i="3"/>
  <c r="E5" i="3"/>
  <c r="C7" i="3"/>
  <c r="C8" i="3"/>
  <c r="E7" i="3"/>
</calcChain>
</file>

<file path=xl/sharedStrings.xml><?xml version="1.0" encoding="utf-8"?>
<sst xmlns="http://schemas.openxmlformats.org/spreadsheetml/2006/main" count="5498" uniqueCount="389">
  <si>
    <t/>
  </si>
  <si>
    <t>AIAN Male</t>
  </si>
  <si>
    <t>ANHPI Male</t>
  </si>
  <si>
    <t>Black Male</t>
  </si>
  <si>
    <t>His-Lat Male</t>
  </si>
  <si>
    <t>Other Male</t>
  </si>
  <si>
    <t>Occupational series (100+ employees)</t>
  </si>
  <si>
    <t>Other-- Occupations less than 100</t>
  </si>
  <si>
    <t>Employment totals</t>
  </si>
  <si>
    <t>White Female</t>
  </si>
  <si>
    <t>AIAN Female</t>
  </si>
  <si>
    <t>ANHPI Female</t>
  </si>
  <si>
    <t>Black Female</t>
  </si>
  <si>
    <t>His-Lat Female</t>
  </si>
  <si>
    <t>Other Female</t>
  </si>
  <si>
    <t>0006-Correctional Institution Administration</t>
  </si>
  <si>
    <t>0007-Correctional Officer</t>
  </si>
  <si>
    <t>0017-Explosives Safety</t>
  </si>
  <si>
    <t>0018-Safety And Occupational Health Management</t>
  </si>
  <si>
    <t>0020-Community Planning</t>
  </si>
  <si>
    <t>0023-Outdoor Recreation Planning</t>
  </si>
  <si>
    <t>0025-Park Ranger</t>
  </si>
  <si>
    <t>0028-Environmental Protection Specialist</t>
  </si>
  <si>
    <t>0030-Sports Specialist</t>
  </si>
  <si>
    <t>0060-Chaplain</t>
  </si>
  <si>
    <t>0080-Security Administration</t>
  </si>
  <si>
    <t>0081-Fire Protection And Prevention</t>
  </si>
  <si>
    <t>0082-United States Marshal</t>
  </si>
  <si>
    <t>0083-Police</t>
  </si>
  <si>
    <t>0085-Security Guard</t>
  </si>
  <si>
    <t>0086-Security Clerical And Assistance</t>
  </si>
  <si>
    <t>0089-Emergency Management Specialist</t>
  </si>
  <si>
    <t>0090-Guide</t>
  </si>
  <si>
    <t>0101-Social Science</t>
  </si>
  <si>
    <t>0102-Social Science Aid And Technician</t>
  </si>
  <si>
    <t>0105-Social Insurance Administration</t>
  </si>
  <si>
    <t>0107-Health Insurance Administration</t>
  </si>
  <si>
    <t>0110-Economist</t>
  </si>
  <si>
    <t>0130-Foreign Affairs</t>
  </si>
  <si>
    <t>0131-International Relations</t>
  </si>
  <si>
    <t>0132-Intelligence</t>
  </si>
  <si>
    <t>0150-Geography</t>
  </si>
  <si>
    <t>0170-History</t>
  </si>
  <si>
    <t>0180-Psychology</t>
  </si>
  <si>
    <t>0181-Psychology Aid And Technician</t>
  </si>
  <si>
    <t>0185-Social Work</t>
  </si>
  <si>
    <t>0186-Social Services Aid And Assistant</t>
  </si>
  <si>
    <t>0187-Social Services</t>
  </si>
  <si>
    <t>0188-Recreation Specialist</t>
  </si>
  <si>
    <t>0189-Recreation Aid And Assistant</t>
  </si>
  <si>
    <t>0193-Archeology</t>
  </si>
  <si>
    <t>0201-Human Resources Management</t>
  </si>
  <si>
    <t>0203-Human Resources Assistance</t>
  </si>
  <si>
    <t>0241-Mediation</t>
  </si>
  <si>
    <t>0244-Labor-Management Relations Examining</t>
  </si>
  <si>
    <t>0260-Equal Employment Opportunity</t>
  </si>
  <si>
    <t>0301-Miscellaneous Administration And Program</t>
  </si>
  <si>
    <t>0303-Miscellaneous Clerk And Assistant</t>
  </si>
  <si>
    <t>0304-Information Receptionist</t>
  </si>
  <si>
    <t>0305-Mail And File</t>
  </si>
  <si>
    <t>0306-Government Information</t>
  </si>
  <si>
    <t>0308-Records and Information Management</t>
  </si>
  <si>
    <t>0318-Secretary</t>
  </si>
  <si>
    <t>0326-Ofc Automation Clerical And Assistance</t>
  </si>
  <si>
    <t>0335-Computer Clerk And Assistant</t>
  </si>
  <si>
    <t>0340-Program Management</t>
  </si>
  <si>
    <t>0341-Administrative Officer</t>
  </si>
  <si>
    <t>0342-Support Services Administration</t>
  </si>
  <si>
    <t>0343-Management And Program Analysis</t>
  </si>
  <si>
    <t>0344-Management &amp; Program Clerical &amp; Assistan</t>
  </si>
  <si>
    <t>0346-Logistics Management</t>
  </si>
  <si>
    <t>0360-Equal Opportunity Compliance</t>
  </si>
  <si>
    <t>0382-Telephone Operating</t>
  </si>
  <si>
    <t>0391-Telecommunications</t>
  </si>
  <si>
    <t>0392-General Telecommunications</t>
  </si>
  <si>
    <t>0399-Admin And Office Support Student Trainee</t>
  </si>
  <si>
    <t>0401-Gen Natural Resources Mgt And Bio Sci</t>
  </si>
  <si>
    <t>0403-Microbiology</t>
  </si>
  <si>
    <t>0404-Biological Science Technician</t>
  </si>
  <si>
    <t>0405-Pharmacology</t>
  </si>
  <si>
    <t>0408-Ecology</t>
  </si>
  <si>
    <t>0413-Physiology</t>
  </si>
  <si>
    <t>0414-Entomology</t>
  </si>
  <si>
    <t>0415-Toxicology</t>
  </si>
  <si>
    <t>0430-Botany</t>
  </si>
  <si>
    <t>0434-Plant Pathology</t>
  </si>
  <si>
    <t>0437-Horticulture</t>
  </si>
  <si>
    <t>0440-Genetics</t>
  </si>
  <si>
    <t>0454-Rangeland Management</t>
  </si>
  <si>
    <t>0455-Range Technician</t>
  </si>
  <si>
    <t>0457-Soil Conservation</t>
  </si>
  <si>
    <t>0458-Soil Conservation Technician</t>
  </si>
  <si>
    <t>0460-Forestry</t>
  </si>
  <si>
    <t>0462-Forestry Technician</t>
  </si>
  <si>
    <t>0470-Soil Science</t>
  </si>
  <si>
    <t>0471-Agronomy</t>
  </si>
  <si>
    <t>0480-Fish And Wildlife Administration</t>
  </si>
  <si>
    <t>0482-Fish Biology</t>
  </si>
  <si>
    <t>0485-Wildlife Refuge Management</t>
  </si>
  <si>
    <t>0486-Wildlife Biology</t>
  </si>
  <si>
    <t>0501-Financial Administration And Program</t>
  </si>
  <si>
    <t>0503-Financial Clerical And Assistance</t>
  </si>
  <si>
    <t>0505-Financial Management</t>
  </si>
  <si>
    <t>0510-Accounting</t>
  </si>
  <si>
    <t>0511-Auditing</t>
  </si>
  <si>
    <t>0512-Internal Revenue Agent</t>
  </si>
  <si>
    <t>0525-Accounting Technician</t>
  </si>
  <si>
    <t>0526-Tax Specialist</t>
  </si>
  <si>
    <t>0530-Cash Processing</t>
  </si>
  <si>
    <t>0540-Voucher Examining</t>
  </si>
  <si>
    <t>0544-Civilian Pay</t>
  </si>
  <si>
    <t>0545-Military Pay</t>
  </si>
  <si>
    <t>0560-Budget Analysis</t>
  </si>
  <si>
    <t>0561-Budget Clerical And Assistance</t>
  </si>
  <si>
    <t>0570-Financial Institution Examining</t>
  </si>
  <si>
    <t>0580-Credit Union Examiner</t>
  </si>
  <si>
    <t>0592-Tax Examining</t>
  </si>
  <si>
    <t>0601-General Health Science</t>
  </si>
  <si>
    <t>0602-Medical Officer</t>
  </si>
  <si>
    <t>0603-Physician Assistant</t>
  </si>
  <si>
    <t>0610-Nurse</t>
  </si>
  <si>
    <t>0620-Practical Nurse</t>
  </si>
  <si>
    <t>0621-Nursing Assistant</t>
  </si>
  <si>
    <t>0622-Medical Supply Aide And Technician</t>
  </si>
  <si>
    <t>0630-Dietitian And Nutritionist</t>
  </si>
  <si>
    <t>0631-Occupational Therapist</t>
  </si>
  <si>
    <t>0633-Physical Therapist</t>
  </si>
  <si>
    <t>0635-Kinesiotherapy</t>
  </si>
  <si>
    <t>0636-Rehabilitation Therapy Assistant</t>
  </si>
  <si>
    <t>0638-Recreation/Creative Arts Therapist</t>
  </si>
  <si>
    <t>0640-Health Aid And Technician</t>
  </si>
  <si>
    <t>0644-Medical Technologist</t>
  </si>
  <si>
    <t>0645-Medical Technician</t>
  </si>
  <si>
    <t>0646-Pathology Technician</t>
  </si>
  <si>
    <t>0647-Diagnostic Radiologic Technologist</t>
  </si>
  <si>
    <t>0648-Therapeutic Radiologic Technologist</t>
  </si>
  <si>
    <t>0649-Medical Instrument Technician</t>
  </si>
  <si>
    <t>0651-Respiratory Therapist</t>
  </si>
  <si>
    <t>0660-Pharmacist</t>
  </si>
  <si>
    <t>0661-Pharmacy Technician</t>
  </si>
  <si>
    <t>0662-Optometrist</t>
  </si>
  <si>
    <t>0665-Speech Pathology And Audiology</t>
  </si>
  <si>
    <t>0667-Orthotist And Prosthetist</t>
  </si>
  <si>
    <t>0668-Podiatrist</t>
  </si>
  <si>
    <t>0669-Medical Records Administration</t>
  </si>
  <si>
    <t>0670-Health System Administration</t>
  </si>
  <si>
    <t>0671-Health System Specialist</t>
  </si>
  <si>
    <t>0672-Prosthetic Representative</t>
  </si>
  <si>
    <t>0673-Hospital Housekeeping Management</t>
  </si>
  <si>
    <t>0675-Medical Records Technician</t>
  </si>
  <si>
    <t>0679-Medical Support Assistance</t>
  </si>
  <si>
    <t>0680-Dental Officer</t>
  </si>
  <si>
    <t>0681-Dental Assistant</t>
  </si>
  <si>
    <t>0682-Dental Hygiene</t>
  </si>
  <si>
    <t>0683-Dental Laboratory Aid And Technician</t>
  </si>
  <si>
    <t>0685-Public Health Program Specialist</t>
  </si>
  <si>
    <t>0690-Industrial Hygiene</t>
  </si>
  <si>
    <t>0696-Consumer Safety</t>
  </si>
  <si>
    <t>0701-Veterinary Medical Science</t>
  </si>
  <si>
    <t>0704-Animal Health Technician</t>
  </si>
  <si>
    <t>0801-General Engineering</t>
  </si>
  <si>
    <t>0802-Engineering Technical</t>
  </si>
  <si>
    <t>0803-Safety Engineering</t>
  </si>
  <si>
    <t>0804-Fire Protection Engineering</t>
  </si>
  <si>
    <t>0806-Materials Engineering</t>
  </si>
  <si>
    <t>0807-Landscape Architecture</t>
  </si>
  <si>
    <t>0808-Architecture</t>
  </si>
  <si>
    <t>0809-Construction Control Technical</t>
  </si>
  <si>
    <t>0810-Civil Engineering</t>
  </si>
  <si>
    <t>0817-Survey Technical</t>
  </si>
  <si>
    <t>0819-Environmental Engineering</t>
  </si>
  <si>
    <t>0830-Mechanical Engineering</t>
  </si>
  <si>
    <t>0840-Nuclear Engineering</t>
  </si>
  <si>
    <t>0850-Electrical Engineering</t>
  </si>
  <si>
    <t>0854-Computer Engineering</t>
  </si>
  <si>
    <t>0855-Electronics Engineering</t>
  </si>
  <si>
    <t>0856-Electronics Technical</t>
  </si>
  <si>
    <t>0858-Bioengineering &amp; Biomedical Engineering</t>
  </si>
  <si>
    <t>0861-Aerospace Engineering</t>
  </si>
  <si>
    <t>0871-Naval Architecture</t>
  </si>
  <si>
    <t>0873-Marine Survey Technical</t>
  </si>
  <si>
    <t>0881-Petroleum Engineering</t>
  </si>
  <si>
    <t>0890-Agricultural Engineering</t>
  </si>
  <si>
    <t>0893-Chemical Engineering</t>
  </si>
  <si>
    <t>0895-Industrial Engineering Technical</t>
  </si>
  <si>
    <t>0896-Industrial Engineering</t>
  </si>
  <si>
    <t>0899-Engineering And Architecture Student Trn</t>
  </si>
  <si>
    <t>0901-General Legal And Kindred Administration</t>
  </si>
  <si>
    <t>0905-General Attorney</t>
  </si>
  <si>
    <t>0930-Hearings And Appeals</t>
  </si>
  <si>
    <t>0935-Administrative Law Judge</t>
  </si>
  <si>
    <t>0950-Paralegal Specialist</t>
  </si>
  <si>
    <t>0962-Contact Representative</t>
  </si>
  <si>
    <t>0963-Legal Instruments Examining</t>
  </si>
  <si>
    <t>0965-Land Law Examining</t>
  </si>
  <si>
    <t>0967-Passport And Visa Examining</t>
  </si>
  <si>
    <t>0986-Legal Assistance</t>
  </si>
  <si>
    <t>0987-Tax Law Specialist</t>
  </si>
  <si>
    <t>0991-Worker's Compensation Claims Examining</t>
  </si>
  <si>
    <t>0993-Railroad Retirement Claims Examining</t>
  </si>
  <si>
    <t>0996-Veterans Claims Examining</t>
  </si>
  <si>
    <t>0998-Claims Assistance And Examining</t>
  </si>
  <si>
    <t>1001-General Arts And Information</t>
  </si>
  <si>
    <t>1008-Interior Design</t>
  </si>
  <si>
    <t>1010-Exhibits Specialist</t>
  </si>
  <si>
    <t>1015-Museum Curator</t>
  </si>
  <si>
    <t>1016-Museum Specialist And Technician</t>
  </si>
  <si>
    <t>1035-Public Affairs</t>
  </si>
  <si>
    <t>1040-Language Specialist</t>
  </si>
  <si>
    <t>1060-Photography</t>
  </si>
  <si>
    <t>1071-Audiovisual Production</t>
  </si>
  <si>
    <t>1082-Writing And Editing</t>
  </si>
  <si>
    <t>1083-Technical Writing And Editing</t>
  </si>
  <si>
    <t>1084-Visual Information</t>
  </si>
  <si>
    <t>1101-General Business And Industry</t>
  </si>
  <si>
    <t>1102-Contracting</t>
  </si>
  <si>
    <t>1103-Industrial Property Management</t>
  </si>
  <si>
    <t>1104-Property Disposal</t>
  </si>
  <si>
    <t>1105-Purchasing</t>
  </si>
  <si>
    <t>1106-Procurement Clerical And Technician</t>
  </si>
  <si>
    <t>1109-Grants Management</t>
  </si>
  <si>
    <t>1130-Public Utilities Specialist</t>
  </si>
  <si>
    <t>1140-Trade Specialist</t>
  </si>
  <si>
    <t>1144-Commissary Management</t>
  </si>
  <si>
    <t>1145-Agricultural Program Specialist</t>
  </si>
  <si>
    <t>1146-Agricultural Marketing</t>
  </si>
  <si>
    <t>1147-Agricultural Market Reporting</t>
  </si>
  <si>
    <t>1150-Industrial Specialist</t>
  </si>
  <si>
    <t>1152-Production Control</t>
  </si>
  <si>
    <t>1160-Financial Analysis</t>
  </si>
  <si>
    <t>1165-Loan Specialist</t>
  </si>
  <si>
    <t>1169-Internal Revenue Officer</t>
  </si>
  <si>
    <t>1170-Realty</t>
  </si>
  <si>
    <t>1171-Appraising</t>
  </si>
  <si>
    <t>1173-Housing Management</t>
  </si>
  <si>
    <t>1176-Building Management</t>
  </si>
  <si>
    <t>1220-Patent Administration</t>
  </si>
  <si>
    <t>1222-Patent Attorney</t>
  </si>
  <si>
    <t>1224-Patent Examining</t>
  </si>
  <si>
    <t>1226-Design Patent Examining</t>
  </si>
  <si>
    <t>1301-General Physical Science</t>
  </si>
  <si>
    <t>1306-Health Physics</t>
  </si>
  <si>
    <t>1310-Physics</t>
  </si>
  <si>
    <t>1311-Physical Science Technician</t>
  </si>
  <si>
    <t>1313-Geophysics</t>
  </si>
  <si>
    <t>1315-Hydrology</t>
  </si>
  <si>
    <t>1316-Hydrologic Technician</t>
  </si>
  <si>
    <t>1320-Chemistry</t>
  </si>
  <si>
    <t>1330-Astronomy And Space Science</t>
  </si>
  <si>
    <t>1340-Meteorology</t>
  </si>
  <si>
    <t>1341-Meteorological Technician</t>
  </si>
  <si>
    <t>1350-Geology</t>
  </si>
  <si>
    <t>1360-Oceanography</t>
  </si>
  <si>
    <t>1361-Navigational Information</t>
  </si>
  <si>
    <t>1370-Cartography</t>
  </si>
  <si>
    <t>1371-Cartographic Technician</t>
  </si>
  <si>
    <t>1373-Land Surveying</t>
  </si>
  <si>
    <t>1410-Librarian</t>
  </si>
  <si>
    <t>1411-Library Technician</t>
  </si>
  <si>
    <t>1412-Technical Information Services</t>
  </si>
  <si>
    <t>1420-Archivist</t>
  </si>
  <si>
    <t>1421-Archives Technician</t>
  </si>
  <si>
    <t>1510-Actuarial Science</t>
  </si>
  <si>
    <t>1515-Operations Research</t>
  </si>
  <si>
    <t>1520-Mathematics</t>
  </si>
  <si>
    <t>1529-Mathematical Statistics</t>
  </si>
  <si>
    <t>1530-Statistics</t>
  </si>
  <si>
    <t>1531-Statistical Assistant</t>
  </si>
  <si>
    <t>1550-Computer Science</t>
  </si>
  <si>
    <t>1601-Equipment, Facilities, And Services</t>
  </si>
  <si>
    <t>1603-Equipment, Facilities, &amp; Services Assist</t>
  </si>
  <si>
    <t>1630-Cemetery Administration Services</t>
  </si>
  <si>
    <t>1640-Facility Operations Services</t>
  </si>
  <si>
    <t>1654-Printing Services</t>
  </si>
  <si>
    <t>1667-Food Services</t>
  </si>
  <si>
    <t>1670-Equipment Services</t>
  </si>
  <si>
    <t>1701-General Education And Training</t>
  </si>
  <si>
    <t>1702-Education And Training Technician</t>
  </si>
  <si>
    <t>1710-Education And Vocational Training</t>
  </si>
  <si>
    <t>1712-Training Instruction</t>
  </si>
  <si>
    <t>1715-Vocational Rehabilitation</t>
  </si>
  <si>
    <t>1720-Education Program</t>
  </si>
  <si>
    <t>1740-Education Services</t>
  </si>
  <si>
    <t>1750-Instructional Systems</t>
  </si>
  <si>
    <t>1801-General Inspection, Investigation, Enfor</t>
  </si>
  <si>
    <t>1802-Compliance Inspection And Support</t>
  </si>
  <si>
    <t>1805-Investigative Analysis</t>
  </si>
  <si>
    <t>1810-General Investigation</t>
  </si>
  <si>
    <t>1811-Criminal Investigation</t>
  </si>
  <si>
    <t>1822-Mine Safety And Health Inspection Series</t>
  </si>
  <si>
    <t>1825-Aviation Safety</t>
  </si>
  <si>
    <t>1831-Securities Compliance Examining</t>
  </si>
  <si>
    <t>1849-Wage And Hour Investigation Series</t>
  </si>
  <si>
    <t>1860-Equal Opportunity Investigation</t>
  </si>
  <si>
    <t>1862-Consumer Safety Inspection</t>
  </si>
  <si>
    <t>1863-Food Inspection</t>
  </si>
  <si>
    <t>1881-Customs And Border Protection Interdictn</t>
  </si>
  <si>
    <t>1889-Import Compliance Series</t>
  </si>
  <si>
    <t>1894-Customs Entry And Liquidating</t>
  </si>
  <si>
    <t>1895-Customs And Border Protection</t>
  </si>
  <si>
    <t>1896-Border Patrol Enforcement Series</t>
  </si>
  <si>
    <t>1910-Quality Assurance</t>
  </si>
  <si>
    <t>1980-Agricultural Commodity Grading</t>
  </si>
  <si>
    <t>2001-General Supply</t>
  </si>
  <si>
    <t>2003-Supply Program Management</t>
  </si>
  <si>
    <t>2005-Supply Clerical And Technician</t>
  </si>
  <si>
    <t>2010-Inventory Management</t>
  </si>
  <si>
    <t>2030-Distribution Facilities &amp; Storage Manage</t>
  </si>
  <si>
    <t>2032-Packaging</t>
  </si>
  <si>
    <t>2091-Sales Store Clerical</t>
  </si>
  <si>
    <t>2101-Transportation Specialist</t>
  </si>
  <si>
    <t>2102-Transportation Clerk And Assistant</t>
  </si>
  <si>
    <t>2121-Railroad Safety</t>
  </si>
  <si>
    <t>2123-Motor Carrier Safety</t>
  </si>
  <si>
    <t>2125-Highway Safety</t>
  </si>
  <si>
    <t>2130-Traffic Management</t>
  </si>
  <si>
    <t>2131-Freight Rate</t>
  </si>
  <si>
    <t>2150-Transportation Operations</t>
  </si>
  <si>
    <t>2151-Dispatching</t>
  </si>
  <si>
    <t>2152-Air Traffic Control</t>
  </si>
  <si>
    <t>2154-Air Traffic Assistance</t>
  </si>
  <si>
    <t>2181-Aircraft Operation</t>
  </si>
  <si>
    <t>2185-Aircrew Technician</t>
  </si>
  <si>
    <t>2186-Technical Systems Program Manager</t>
  </si>
  <si>
    <t>2210-Information Technology Management</t>
  </si>
  <si>
    <t>0499-Biological Science Student Trainee</t>
  </si>
  <si>
    <t>0828-Construction Analyst</t>
  </si>
  <si>
    <t>1501-General Mathematics and Statistics</t>
  </si>
  <si>
    <t>White Male Employees</t>
  </si>
  <si>
    <t>White Male Average Salary</t>
  </si>
  <si>
    <t>AIAN Male Avg Salary</t>
  </si>
  <si>
    <t>AIAN Male Employees</t>
  </si>
  <si>
    <t>AIAN Male Occ Dist</t>
  </si>
  <si>
    <t>AIAN Male % White Male Avg Salary</t>
  </si>
  <si>
    <t>ANHPI Male Occ Dist</t>
  </si>
  <si>
    <t>ANHPI Male Employees</t>
  </si>
  <si>
    <t>ANHPI Male Avg Salary</t>
  </si>
  <si>
    <t>ANHPI Male % White Male Avg Salary</t>
  </si>
  <si>
    <t>Black Male Occ Dist</t>
  </si>
  <si>
    <t>Black Male Employees</t>
  </si>
  <si>
    <t>Black Male Avg Salary</t>
  </si>
  <si>
    <t>Black Male % White Male Avg Salary</t>
  </si>
  <si>
    <t>Other Male Occ Dist</t>
  </si>
  <si>
    <t>Other Male Employees</t>
  </si>
  <si>
    <t>Other Male Avg Salary</t>
  </si>
  <si>
    <t>Other Male % White Male Salary</t>
  </si>
  <si>
    <t>Hispanic - Latino Male Occ Dist</t>
  </si>
  <si>
    <t>Hispanic Latino Male Employees</t>
  </si>
  <si>
    <t>Hispanic Latino Male Avg Salary</t>
  </si>
  <si>
    <t>Hispanic Latino % White Male Avg Salary</t>
  </si>
  <si>
    <t>White Female Employees</t>
  </si>
  <si>
    <t>AIAN Female Occ Dist</t>
  </si>
  <si>
    <t>AIAN Female Employees</t>
  </si>
  <si>
    <t>AIAN Female Avg Salary</t>
  </si>
  <si>
    <t>AIAN Female % White Male Avg Salary</t>
  </si>
  <si>
    <t>ANHPI Female Occ Dist</t>
  </si>
  <si>
    <t>ANHPI Female Employees</t>
  </si>
  <si>
    <t>ANHPI Female Avg Salary</t>
  </si>
  <si>
    <t>ANHPI Female % White Male Avg Salary</t>
  </si>
  <si>
    <t>Black Female Occ Dist</t>
  </si>
  <si>
    <t>Black Female Employees</t>
  </si>
  <si>
    <t>Black Female Avg Salary</t>
  </si>
  <si>
    <t>Black Female % White Male Avg Salary</t>
  </si>
  <si>
    <t>Hispanic - Latino Female Occ Dist</t>
  </si>
  <si>
    <t>Hispanic Latino Female Employees</t>
  </si>
  <si>
    <t>Hispanic Latino Female Avg Salary</t>
  </si>
  <si>
    <t>Hispanic Latino % White Female Avg Salary</t>
  </si>
  <si>
    <t>Other Female Occ Dist</t>
  </si>
  <si>
    <t>Other Female Employees</t>
  </si>
  <si>
    <t>Other Female Avg Salary</t>
  </si>
  <si>
    <t>Other Female % White Male Salary</t>
  </si>
  <si>
    <t>White Female Occ Dist</t>
  </si>
  <si>
    <t>White Female Avg Salary</t>
  </si>
  <si>
    <t>White Female % White Male Avg Salary</t>
  </si>
  <si>
    <t>Racial/Ethnic Group and Gender</t>
  </si>
  <si>
    <t>Number of Occupations with a Salary Percentage &gt;=100 %</t>
  </si>
  <si>
    <t>Number of Occupations with a Salary Percentage between 95-99.9%</t>
  </si>
  <si>
    <t>Total Number of Occupations</t>
  </si>
  <si>
    <t>Percentage of Occupations with a Salary Percentage &gt;=100%</t>
  </si>
  <si>
    <t>Percentage of Occupations with a Salary Percentage between 95-99.9%</t>
  </si>
  <si>
    <t>Number of Occupations with a Salary Percentage &lt;95%</t>
  </si>
  <si>
    <t>Percentage of Occupations with a Salary Percentage &lt;95%</t>
  </si>
  <si>
    <t>For the Total Number of Occupations, there is one catchall category for occupations that have less than 100 employees.</t>
  </si>
  <si>
    <t>11e. Number of Occupations in Certain Salary Percentages</t>
  </si>
  <si>
    <t>Appendix 11: Pay Gaps and Population Weighted Averages for each Racial/Ethnic Group by White Collar Occupational Series (September 2022)</t>
  </si>
  <si>
    <t>11d. Population Weighted Averages for White Collar NSFTP Females in the Executive Branch by Racial/Ethnic Group and Occupational Series</t>
  </si>
  <si>
    <t>11c. Pay Gaps for White Collar NSFTP Females in the Executive Branch for each Racial/Ethnic Group by Occupational Series</t>
  </si>
  <si>
    <t>11b. Population Weighted Averages for White Collar NSFTP Males in the Executive Branch by Racial/Ethnic Group and Occupational Series</t>
  </si>
  <si>
    <t>11a. Pay Gaps for White Collar Nonseasonal Full Time Permanent (NSFTP) Males in the Executive Branch by Racial/Ethnic Group and Occupational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</si>
</sst>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00"/>
    <numFmt numFmtId="166" formatCode="_(&quot;$&quot;* #,##0_);_(&quot;$&quot;* \(#,##0\);_(&quot;$&quot;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sz val="16"/>
      <color theme="3"/>
      <name val="Source Sans Pro"/>
      <family val="2"/>
    </font>
    <font>
      <sz val="14"/>
      <color theme="3"/>
      <name val="Calibri"/>
      <family val="2"/>
      <scheme val="minor"/>
    </font>
    <font>
      <sz val="12"/>
      <color theme="1"/>
      <name val="Source Sans Pro"/>
      <family val="2"/>
    </font>
    <font>
      <b/>
      <sz val="12"/>
      <color theme="0"/>
      <name val="Source Sans Pro"/>
      <family val="2"/>
    </font>
    <font>
      <sz val="8"/>
      <name val="Calibri"/>
      <family val="2"/>
      <scheme val="minor"/>
    </font>
    <font>
      <sz val="11"/>
      <color theme="1"/>
      <name val="Source Sans Pro"/>
      <family val="2"/>
    </font>
    <font>
      <sz val="14"/>
      <color theme="3"/>
      <name val="Source Sans Pro"/>
      <family val="2"/>
    </font>
    <font>
      <sz val="16"/>
      <color theme="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5" applyNumberFormat="0" applyFill="0" applyAlignment="0" applyProtection="0"/>
  </cellStyleXfs>
  <cellXfs count="84">
    <xf numFmtId="0" fontId="0" fillId="0" borderId="0" xfId="0"/>
    <xf numFmtId="164" fontId="0" fillId="0" borderId="0" xfId="1" applyNumberFormat="1" applyFont="1"/>
    <xf numFmtId="0" fontId="5" fillId="2" borderId="0" xfId="4" applyFont="1" applyFill="1" applyAlignment="1">
      <alignment vertical="top"/>
    </xf>
    <xf numFmtId="0" fontId="6" fillId="0" borderId="5" xfId="5" applyFont="1"/>
    <xf numFmtId="0" fontId="7" fillId="0" borderId="0" xfId="0" applyFont="1" applyAlignment="1">
      <alignment vertical="top" wrapText="1"/>
    </xf>
    <xf numFmtId="166" fontId="4" fillId="2" borderId="0" xfId="3" applyNumberFormat="1" applyFont="1" applyFill="1" applyAlignment="1">
      <alignment vertical="top"/>
    </xf>
    <xf numFmtId="166" fontId="0" fillId="0" borderId="0" xfId="3" applyNumberFormat="1" applyFont="1"/>
    <xf numFmtId="167" fontId="4" fillId="2" borderId="0" xfId="2" applyNumberFormat="1" applyFont="1" applyFill="1" applyAlignment="1">
      <alignment vertical="top"/>
    </xf>
    <xf numFmtId="167" fontId="0" fillId="0" borderId="0" xfId="2" applyNumberFormat="1" applyFont="1"/>
    <xf numFmtId="10" fontId="4" fillId="2" borderId="0" xfId="1" applyNumberFormat="1" applyFont="1" applyFill="1" applyAlignment="1">
      <alignment vertical="top"/>
    </xf>
    <xf numFmtId="10" fontId="0" fillId="0" borderId="0" xfId="1" applyNumberFormat="1" applyFont="1"/>
    <xf numFmtId="10" fontId="7" fillId="0" borderId="3" xfId="1" applyNumberFormat="1" applyFont="1" applyBorder="1" applyAlignment="1">
      <alignment vertical="top" wrapText="1"/>
    </xf>
    <xf numFmtId="167" fontId="7" fillId="0" borderId="6" xfId="2" applyNumberFormat="1" applyFont="1" applyBorder="1" applyAlignment="1">
      <alignment vertical="top" wrapText="1"/>
    </xf>
    <xf numFmtId="166" fontId="7" fillId="0" borderId="6" xfId="3" applyNumberFormat="1" applyFont="1" applyBorder="1" applyAlignment="1">
      <alignment vertical="top" wrapText="1"/>
    </xf>
    <xf numFmtId="164" fontId="7" fillId="0" borderId="7" xfId="1" applyNumberFormat="1" applyFont="1" applyBorder="1" applyAlignment="1">
      <alignment vertical="top" wrapText="1"/>
    </xf>
    <xf numFmtId="10" fontId="7" fillId="0" borderId="1" xfId="1" applyNumberFormat="1" applyFont="1" applyBorder="1" applyAlignment="1">
      <alignment vertical="top" wrapText="1"/>
    </xf>
    <xf numFmtId="167" fontId="7" fillId="0" borderId="0" xfId="2" applyNumberFormat="1" applyFont="1" applyBorder="1" applyAlignment="1">
      <alignment vertical="top" wrapText="1"/>
    </xf>
    <xf numFmtId="166" fontId="7" fillId="0" borderId="0" xfId="3" applyNumberFormat="1" applyFont="1" applyBorder="1" applyAlignment="1">
      <alignment vertical="top" wrapText="1"/>
    </xf>
    <xf numFmtId="164" fontId="7" fillId="0" borderId="2" xfId="1" applyNumberFormat="1" applyFont="1" applyBorder="1" applyAlignment="1">
      <alignment vertical="top" wrapText="1"/>
    </xf>
    <xf numFmtId="10" fontId="7" fillId="0" borderId="4" xfId="1" applyNumberFormat="1" applyFont="1" applyBorder="1" applyAlignment="1">
      <alignment vertical="top" wrapText="1"/>
    </xf>
    <xf numFmtId="167" fontId="7" fillId="0" borderId="8" xfId="2" applyNumberFormat="1" applyFont="1" applyBorder="1" applyAlignment="1">
      <alignment vertical="top" wrapText="1"/>
    </xf>
    <xf numFmtId="166" fontId="7" fillId="0" borderId="8" xfId="3" applyNumberFormat="1" applyFont="1" applyBorder="1" applyAlignment="1">
      <alignment vertical="top" wrapText="1"/>
    </xf>
    <xf numFmtId="164" fontId="7" fillId="0" borderId="9" xfId="1" applyNumberFormat="1" applyFont="1" applyBorder="1" applyAlignment="1">
      <alignment vertical="top" wrapText="1"/>
    </xf>
    <xf numFmtId="167" fontId="7" fillId="0" borderId="3" xfId="2" applyNumberFormat="1" applyFont="1" applyBorder="1" applyAlignment="1">
      <alignment vertical="top" wrapText="1"/>
    </xf>
    <xf numFmtId="166" fontId="7" fillId="0" borderId="7" xfId="3" applyNumberFormat="1" applyFont="1" applyBorder="1" applyAlignment="1">
      <alignment vertical="top" wrapText="1"/>
    </xf>
    <xf numFmtId="167" fontId="7" fillId="0" borderId="1" xfId="2" applyNumberFormat="1" applyFont="1" applyBorder="1" applyAlignment="1">
      <alignment vertical="top" wrapText="1"/>
    </xf>
    <xf numFmtId="166" fontId="7" fillId="0" borderId="2" xfId="3" applyNumberFormat="1" applyFont="1" applyBorder="1" applyAlignment="1">
      <alignment vertical="top" wrapText="1"/>
    </xf>
    <xf numFmtId="167" fontId="7" fillId="0" borderId="4" xfId="2" applyNumberFormat="1" applyFont="1" applyBorder="1" applyAlignment="1">
      <alignment vertical="top" wrapText="1"/>
    </xf>
    <xf numFmtId="166" fontId="7" fillId="0" borderId="9" xfId="3" applyNumberFormat="1" applyFont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vertical="top"/>
    </xf>
    <xf numFmtId="164" fontId="7" fillId="0" borderId="0" xfId="1" applyNumberFormat="1" applyFont="1"/>
    <xf numFmtId="167" fontId="8" fillId="4" borderId="15" xfId="2" applyNumberFormat="1" applyFont="1" applyFill="1" applyBorder="1" applyAlignment="1">
      <alignment vertical="top" wrapText="1"/>
    </xf>
    <xf numFmtId="166" fontId="8" fillId="4" borderId="16" xfId="3" applyNumberFormat="1" applyFont="1" applyFill="1" applyBorder="1" applyAlignment="1">
      <alignment vertical="top" wrapText="1"/>
    </xf>
    <xf numFmtId="10" fontId="8" fillId="4" borderId="15" xfId="1" applyNumberFormat="1" applyFont="1" applyFill="1" applyBorder="1" applyAlignment="1">
      <alignment vertical="top" wrapText="1"/>
    </xf>
    <xf numFmtId="167" fontId="8" fillId="4" borderId="17" xfId="2" applyNumberFormat="1" applyFont="1" applyFill="1" applyBorder="1" applyAlignment="1">
      <alignment vertical="top" wrapText="1"/>
    </xf>
    <xf numFmtId="166" fontId="8" fillId="4" borderId="17" xfId="3" applyNumberFormat="1" applyFont="1" applyFill="1" applyBorder="1" applyAlignment="1">
      <alignment vertical="top" wrapText="1"/>
    </xf>
    <xf numFmtId="164" fontId="8" fillId="4" borderId="16" xfId="1" applyNumberFormat="1" applyFont="1" applyFill="1" applyBorder="1" applyAlignment="1">
      <alignment vertical="top" wrapText="1"/>
    </xf>
    <xf numFmtId="167" fontId="7" fillId="3" borderId="10" xfId="2" applyNumberFormat="1" applyFont="1" applyFill="1" applyBorder="1" applyAlignment="1">
      <alignment vertical="top" wrapText="1"/>
    </xf>
    <xf numFmtId="166" fontId="7" fillId="3" borderId="11" xfId="3" applyNumberFormat="1" applyFont="1" applyFill="1" applyBorder="1" applyAlignment="1">
      <alignment vertical="top" wrapText="1"/>
    </xf>
    <xf numFmtId="167" fontId="7" fillId="0" borderId="10" xfId="2" applyNumberFormat="1" applyFont="1" applyBorder="1" applyAlignment="1">
      <alignment vertical="top" wrapText="1"/>
    </xf>
    <xf numFmtId="166" fontId="7" fillId="0" borderId="11" xfId="3" applyNumberFormat="1" applyFont="1" applyBorder="1" applyAlignment="1">
      <alignment vertical="top" wrapText="1"/>
    </xf>
    <xf numFmtId="167" fontId="7" fillId="3" borderId="13" xfId="2" applyNumberFormat="1" applyFont="1" applyFill="1" applyBorder="1" applyAlignment="1">
      <alignment vertical="top" wrapText="1"/>
    </xf>
    <xf numFmtId="166" fontId="7" fillId="3" borderId="14" xfId="3" applyNumberFormat="1" applyFont="1" applyFill="1" applyBorder="1" applyAlignment="1">
      <alignment vertical="top" wrapText="1"/>
    </xf>
    <xf numFmtId="0" fontId="8" fillId="4" borderId="12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44" fontId="0" fillId="0" borderId="0" xfId="3" applyFont="1"/>
    <xf numFmtId="9" fontId="0" fillId="0" borderId="0" xfId="1" applyFont="1"/>
    <xf numFmtId="9" fontId="8" fillId="4" borderId="15" xfId="1" applyFont="1" applyFill="1" applyBorder="1" applyAlignment="1">
      <alignment vertical="top" wrapText="1"/>
    </xf>
    <xf numFmtId="9" fontId="8" fillId="4" borderId="16" xfId="1" applyFont="1" applyFill="1" applyBorder="1" applyAlignment="1">
      <alignment vertical="top" wrapText="1"/>
    </xf>
    <xf numFmtId="9" fontId="8" fillId="4" borderId="17" xfId="1" applyFont="1" applyFill="1" applyBorder="1" applyAlignment="1">
      <alignment vertical="top" wrapText="1"/>
    </xf>
    <xf numFmtId="164" fontId="0" fillId="0" borderId="2" xfId="1" applyNumberFormat="1" applyFont="1" applyBorder="1"/>
    <xf numFmtId="167" fontId="0" fillId="0" borderId="8" xfId="2" applyNumberFormat="1" applyFont="1" applyBorder="1"/>
    <xf numFmtId="0" fontId="0" fillId="0" borderId="8" xfId="0" applyBorder="1"/>
    <xf numFmtId="164" fontId="0" fillId="0" borderId="9" xfId="1" applyNumberFormat="1" applyFont="1" applyBorder="1"/>
    <xf numFmtId="9" fontId="0" fillId="0" borderId="4" xfId="1" applyFont="1" applyBorder="1"/>
    <xf numFmtId="166" fontId="0" fillId="0" borderId="8" xfId="3" applyNumberFormat="1" applyFont="1" applyBorder="1"/>
    <xf numFmtId="164" fontId="0" fillId="0" borderId="8" xfId="1" applyNumberFormat="1" applyFont="1" applyBorder="1"/>
    <xf numFmtId="10" fontId="0" fillId="0" borderId="8" xfId="1" applyNumberFormat="1" applyFont="1" applyBorder="1"/>
    <xf numFmtId="9" fontId="0" fillId="0" borderId="8" xfId="1" applyFont="1" applyBorder="1"/>
    <xf numFmtId="44" fontId="0" fillId="0" borderId="8" xfId="3" applyFont="1" applyBorder="1"/>
    <xf numFmtId="9" fontId="0" fillId="0" borderId="9" xfId="1" applyFont="1" applyBorder="1"/>
    <xf numFmtId="164" fontId="0" fillId="0" borderId="18" xfId="1" applyNumberFormat="1" applyFont="1" applyBorder="1"/>
    <xf numFmtId="166" fontId="7" fillId="3" borderId="0" xfId="3" applyNumberFormat="1" applyFont="1" applyFill="1" applyBorder="1" applyAlignment="1">
      <alignment vertical="top" wrapText="1"/>
    </xf>
    <xf numFmtId="166" fontId="7" fillId="3" borderId="8" xfId="3" applyNumberFormat="1" applyFont="1" applyFill="1" applyBorder="1" applyAlignment="1">
      <alignment vertical="top" wrapText="1"/>
    </xf>
    <xf numFmtId="10" fontId="8" fillId="4" borderId="17" xfId="1" applyNumberFormat="1" applyFont="1" applyFill="1" applyBorder="1" applyAlignment="1">
      <alignment vertical="top" wrapText="1"/>
    </xf>
    <xf numFmtId="167" fontId="7" fillId="3" borderId="0" xfId="2" applyNumberFormat="1" applyFont="1" applyFill="1" applyBorder="1" applyAlignment="1">
      <alignment vertical="top" wrapText="1"/>
    </xf>
    <xf numFmtId="167" fontId="7" fillId="3" borderId="8" xfId="2" applyNumberFormat="1" applyFont="1" applyFill="1" applyBorder="1" applyAlignment="1">
      <alignment vertical="top" wrapText="1"/>
    </xf>
    <xf numFmtId="10" fontId="7" fillId="3" borderId="0" xfId="1" applyNumberFormat="1" applyFont="1" applyFill="1" applyBorder="1" applyAlignment="1">
      <alignment vertical="top" wrapText="1"/>
    </xf>
    <xf numFmtId="10" fontId="7" fillId="0" borderId="0" xfId="1" applyNumberFormat="1" applyFont="1" applyBorder="1" applyAlignment="1">
      <alignment vertical="top" wrapText="1"/>
    </xf>
    <xf numFmtId="10" fontId="7" fillId="3" borderId="8" xfId="1" applyNumberFormat="1" applyFont="1" applyFill="1" applyBorder="1" applyAlignment="1">
      <alignment vertical="top" wrapText="1"/>
    </xf>
    <xf numFmtId="164" fontId="7" fillId="3" borderId="2" xfId="1" applyNumberFormat="1" applyFont="1" applyFill="1" applyBorder="1" applyAlignment="1">
      <alignment vertical="top" wrapText="1"/>
    </xf>
    <xf numFmtId="164" fontId="7" fillId="3" borderId="9" xfId="1" applyNumberFormat="1" applyFont="1" applyFill="1" applyBorder="1" applyAlignment="1">
      <alignment vertical="top" wrapText="1"/>
    </xf>
    <xf numFmtId="0" fontId="10" fillId="0" borderId="0" xfId="0" applyFont="1"/>
    <xf numFmtId="0" fontId="10" fillId="0" borderId="3" xfId="0" applyFont="1" applyBorder="1"/>
    <xf numFmtId="164" fontId="10" fillId="0" borderId="0" xfId="1" applyNumberFormat="1" applyFont="1"/>
    <xf numFmtId="0" fontId="10" fillId="0" borderId="1" xfId="0" applyFont="1" applyBorder="1"/>
    <xf numFmtId="0" fontId="10" fillId="0" borderId="4" xfId="0" applyFont="1" applyBorder="1"/>
    <xf numFmtId="0" fontId="10" fillId="0" borderId="0" xfId="0" applyFont="1" applyAlignment="1">
      <alignment vertical="top" wrapText="1"/>
    </xf>
    <xf numFmtId="167" fontId="10" fillId="0" borderId="0" xfId="2" applyNumberFormat="1" applyFont="1"/>
    <xf numFmtId="165" fontId="7" fillId="0" borderId="0" xfId="0" applyNumberFormat="1" applyFont="1"/>
    <xf numFmtId="0" fontId="11" fillId="0" borderId="0" xfId="4" applyFont="1"/>
    <xf numFmtId="0" fontId="12" fillId="0" borderId="0" xfId="0" applyFont="1"/>
  </cellXfs>
  <cellStyles count="6">
    <cellStyle name="Comma" xfId="2" builtinId="3"/>
    <cellStyle name="Currency" xfId="3" builtinId="4"/>
    <cellStyle name="Heading 1" xfId="5" builtinId="16"/>
    <cellStyle name="Normal" xfId="0" builtinId="0"/>
    <cellStyle name="Percent" xfId="1" builtinId="5"/>
    <cellStyle name="Title" xfId="4" builtinId="15"/>
  </cellStyles>
  <dxfs count="77"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0" indent="0" justifyLastLine="0" shrinkToFit="0" readingOrder="0"/>
    </dxf>
    <dxf>
      <numFmt numFmtId="164" formatCode="0.0%"/>
    </dxf>
    <dxf>
      <numFmt numFmtId="166" formatCode="_(&quot;$&quot;* #,##0_);_(&quot;$&quot;* \(#,##0\);_(&quot;$&quot;* &quot;-&quot;??_);_(@_)"/>
    </dxf>
    <dxf>
      <numFmt numFmtId="167" formatCode="_(* #,##0_);_(* \(#,##0\);_(* &quot;-&quot;??_);_(@_)"/>
    </dxf>
    <dxf>
      <numFmt numFmtId="13" formatCode="0%"/>
    </dxf>
    <dxf>
      <numFmt numFmtId="13" formatCode="0%"/>
      <border diagonalUp="0" diagonalDown="0">
        <left/>
        <right style="thin">
          <color indexed="64"/>
        </right>
        <vertical/>
      </border>
    </dxf>
    <dxf>
      <numFmt numFmtId="167" formatCode="_(* #,##0_);_(* \(#,##0\);_(* &quot;-&quot;??_);_(@_)"/>
    </dxf>
    <dxf>
      <numFmt numFmtId="13" formatCode="0%"/>
    </dxf>
    <dxf>
      <numFmt numFmtId="164" formatCode="0.0%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6" formatCode="_(&quot;$&quot;* #,##0_);_(&quot;$&quot;* \(#,##0\);_(&quot;$&quot;* &quot;-&quot;??_);_(@_)"/>
    </dxf>
    <dxf>
      <numFmt numFmtId="167" formatCode="_(* #,##0_);_(* \(#,##0\);_(* &quot;-&quot;??_);_(@_)"/>
    </dxf>
    <dxf>
      <numFmt numFmtId="14" formatCode="0.00%"/>
    </dxf>
    <dxf>
      <numFmt numFmtId="164" formatCode="0.0%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6" formatCode="_(&quot;$&quot;* #,##0_);_(&quot;$&quot;* \(#,##0\);_(&quot;$&quot;* &quot;-&quot;??_);_(@_)"/>
    </dxf>
    <dxf>
      <numFmt numFmtId="167" formatCode="_(* #,##0_);_(* \(#,##0\);_(* &quot;-&quot;??_);_(@_)"/>
    </dxf>
    <dxf>
      <numFmt numFmtId="13" formatCode="0%"/>
    </dxf>
    <dxf>
      <numFmt numFmtId="164" formatCode="0.0%"/>
      <border diagonalUp="0" diagonalDown="0">
        <left/>
        <right style="thin">
          <color indexed="64"/>
        </right>
        <vertical/>
      </border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7" formatCode="_(* #,##0_);_(* \(#,##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4" formatCode="0.00%"/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7" formatCode="_(* #,##0_);_(* \(#,##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7" formatCode="_(* #,##0_);_(* \(#,##0\);_(* &quot;-&quot;??_);_(@_)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4" formatCode="0.00%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7" formatCode="_(* #,##0_);_(* \(#,##0\);_(* &quot;-&quot;??_);_(@_)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4" formatCode="0.00%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7" formatCode="_(* #,##0_);_(* \(#,##0\);_(* &quot;-&quot;??_);_(@_)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4" formatCode="0.00%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7" formatCode="_(* #,##0_);_(* \(#,##0\);_(* &quot;-&quot;??_);_(@_)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4" formatCode="0.00%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7" formatCode="_(* #,##0_);_(* \(#,##0\);_(* &quot;-&quot;??_);_(@_)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4" formatCode="0.00%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7" formatCode="_(* #,##0_);_(* \(#,##0\);_(* &quot;-&quot;??_);_(@_)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74CE2B-64D8-468A-947B-7FB3FFBA09F2}" name="PayGapsForMalesInRacialEthnicGroupsByOccupationalSeries" displayName="PayGapsForMalesInRacialEthnicGroupsByOccupationalSeries" ref="A3:W318" totalsRowShown="0" headerRowDxfId="76" dataDxfId="75">
  <autoFilter ref="A3:W318" xr:uid="{E974CE2B-64D8-468A-947B-7FB3FFBA09F2}"/>
  <tableColumns count="23">
    <tableColumn id="1" xr3:uid="{EDF3AE13-29AB-4C0B-A6A1-312949560163}" name="Occupational series (100+ employees)" dataDxfId="74"/>
    <tableColumn id="2" xr3:uid="{6866A085-C806-4EFF-B105-B030AA6B3049}" name="White Male Employees" dataDxfId="73" dataCellStyle="Comma"/>
    <tableColumn id="3" xr3:uid="{739FF317-408E-4824-9391-BD0C072C9F64}" name="White Male Average Salary" dataDxfId="72" dataCellStyle="Currency"/>
    <tableColumn id="4" xr3:uid="{ADAFBEF6-43E8-470D-ABE4-278083E2F7B9}" name="AIAN Male Occ Dist" dataDxfId="71" dataCellStyle="Percent"/>
    <tableColumn id="5" xr3:uid="{E1E26F58-7AC9-4840-9C95-9A45D5B9439A}" name="AIAN Male Employees" dataDxfId="70" dataCellStyle="Comma"/>
    <tableColumn id="6" xr3:uid="{42460E39-9B95-42F6-88AC-B2059A6A3612}" name="AIAN Male Avg Salary" dataDxfId="69" dataCellStyle="Currency"/>
    <tableColumn id="7" xr3:uid="{DB9B2644-33FD-4032-AA92-4A63F74E61A0}" name="AIAN Male % White Male Avg Salary" dataDxfId="68" dataCellStyle="Percent"/>
    <tableColumn id="8" xr3:uid="{E12B342B-9B7D-43C7-BC7A-979DFFFAF7F8}" name="ANHPI Male Occ Dist" dataDxfId="67" dataCellStyle="Percent"/>
    <tableColumn id="9" xr3:uid="{22990810-9939-4BEE-8D7B-149FE6F94EB8}" name="ANHPI Male Employees" dataDxfId="66" dataCellStyle="Comma"/>
    <tableColumn id="10" xr3:uid="{B025010B-11FD-4CEC-BE4B-3DC1B831D54D}" name="ANHPI Male Avg Salary" dataDxfId="65" dataCellStyle="Currency"/>
    <tableColumn id="11" xr3:uid="{AB650789-AB5A-4FAC-A3FA-89B1B8EEB7DF}" name="ANHPI Male % White Male Avg Salary" dataDxfId="64" dataCellStyle="Percent"/>
    <tableColumn id="12" xr3:uid="{9E3D353D-FD45-4494-9C43-255FE288E372}" name="Black Male Occ Dist" dataDxfId="63" dataCellStyle="Percent"/>
    <tableColumn id="13" xr3:uid="{ABF19948-94BB-4ED0-B89E-1538AFD9DD62}" name="Black Male Employees" dataDxfId="62" dataCellStyle="Comma"/>
    <tableColumn id="14" xr3:uid="{33793451-2A26-494D-8D9C-F76E03890355}" name="Black Male Avg Salary" dataDxfId="61" dataCellStyle="Currency"/>
    <tableColumn id="15" xr3:uid="{753180F2-D3F2-419A-B1E6-5039337BB3AF}" name="Black Male % White Male Avg Salary" dataDxfId="60" dataCellStyle="Percent">
      <calculatedColumnFormula>IFERROR(PayGapsForMalesInRacialEthnicGroupsByOccupationalSeries[[#This Row],[Black Male Avg Salary]]/PayGapsForMalesInRacialEthnicGroupsByOccupationalSeries[[#This Row],[White Male Average Salary]],"")</calculatedColumnFormula>
    </tableColumn>
    <tableColumn id="16" xr3:uid="{658248C1-EFED-4E88-8064-683012BD58D5}" name="Hispanic - Latino Male Occ Dist" dataDxfId="59" dataCellStyle="Percent"/>
    <tableColumn id="17" xr3:uid="{05F3C153-24B0-4ED4-A0FC-7F169E24114B}" name="Hispanic Latino Male Employees" dataDxfId="58" dataCellStyle="Comma"/>
    <tableColumn id="18" xr3:uid="{53B6A4E8-EDC3-43F3-929A-D97E8FDA9B0F}" name="Hispanic Latino Male Avg Salary" dataDxfId="57" dataCellStyle="Currency"/>
    <tableColumn id="19" xr3:uid="{9B1C91F9-90EC-4451-8A0A-69B1AC392784}" name="Hispanic Latino % White Male Avg Salary" dataDxfId="56" dataCellStyle="Percent">
      <calculatedColumnFormula>IFERROR(PayGapsForMalesInRacialEthnicGroupsByOccupationalSeries[[#This Row],[Hispanic Latino Male Avg Salary]]/PayGapsForMalesInRacialEthnicGroupsByOccupationalSeries[[#This Row],[White Male Average Salary]],"")</calculatedColumnFormula>
    </tableColumn>
    <tableColumn id="20" xr3:uid="{BA5B99B6-A59C-4998-A748-3F900466561F}" name="Other Male Occ Dist" dataDxfId="55" dataCellStyle="Percent"/>
    <tableColumn id="21" xr3:uid="{CA43DD53-61E3-4251-AA0B-F9EFBF622F9F}" name="Other Male Employees" dataDxfId="54" dataCellStyle="Comma"/>
    <tableColumn id="22" xr3:uid="{88ADC466-93DA-4222-B36D-B191A565E834}" name="Other Male Avg Salary" dataDxfId="53" dataCellStyle="Currency"/>
    <tableColumn id="23" xr3:uid="{A8AE8CC7-CCF0-4535-9924-33A9FAA95954}" name="Other Male % White Male Salary" dataDxfId="52" dataCellStyle="Percent">
      <calculatedColumnFormula>IFERROR(PayGapsForMalesInRacialEthnicGroupsByOccupationalSeries[[#This Row],[Other Male Avg Salary]]/PayGapsForMalesInRacialEthnicGroupsByOccupationalSeries[[#This Row],[White Male Average Salary]],"")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726E3D-1737-4517-A61D-1CB0A1CCE105}" name="Table1" displayName="Table1" ref="A3:F320" totalsRowShown="0" headerRowDxfId="51" dataDxfId="50">
  <autoFilter ref="A3:F320" xr:uid="{75726E3D-1737-4517-A61D-1CB0A1CCE105}"/>
  <tableColumns count="6">
    <tableColumn id="6" xr3:uid="{C4748EE3-77DD-4520-A6D8-206CBC1DDCF4}" name="Occupational series (100+ employees)" dataDxfId="49"/>
    <tableColumn id="1" xr3:uid="{3AA31D25-3C4E-42CA-90FC-727BBE27A38C}" name="AIAN Male" dataDxfId="48">
      <calculatedColumnFormula>IFERROR(ROUND(PayGapsForMalesInRacialEthnicGroupsByOccupationalSeries[[#This Row],[AIAN Male Occ Dist]]*PayGapsForMalesInRacialEthnicGroupsByOccupationalSeries[[#This Row],[AIAN Male % White Male Avg Salary]],7),"")</calculatedColumnFormula>
    </tableColumn>
    <tableColumn id="2" xr3:uid="{C5E130F7-45D3-493F-8B84-BB56ED010490}" name="ANHPI Male" dataDxfId="47"/>
    <tableColumn id="3" xr3:uid="{6CDE72D9-AA1E-43F0-AB3D-2E097248088C}" name="Black Male" dataDxfId="46"/>
    <tableColumn id="4" xr3:uid="{4025C64E-5C1B-47F7-A84F-6F79E3F2E600}" name="His-Lat Male" dataDxfId="45"/>
    <tableColumn id="5" xr3:uid="{5BA59ED7-3296-471D-9734-BE9EDFF33E42}" name="Other Male" dataDxfId="4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D9FAFD-7448-4E3A-BA43-2CA80AE6E8D0}" name="FemalePayGapsByOccupationalSeriesAndRacialEthnicGroup" displayName="FemalePayGapsByOccupationalSeriesAndRacialEthnicGroup" ref="A3:AA318" totalsRowShown="0" headerRowBorderDxfId="43" tableBorderDxfId="42">
  <autoFilter ref="A3:AA318" xr:uid="{8DD9FAFD-7448-4E3A-BA43-2CA80AE6E8D0}"/>
  <tableColumns count="27">
    <tableColumn id="1" xr3:uid="{E7FA8292-B855-4D36-8B3D-078AE9F778D3}" name="Occupational series (100+ employees)" dataDxfId="41"/>
    <tableColumn id="2" xr3:uid="{96030F5A-A248-4455-BD7F-3A3BADD83C59}" name="White Male Employees" dataDxfId="40" dataCellStyle="Comma"/>
    <tableColumn id="3" xr3:uid="{47AACFFE-36E9-4D52-9648-494762A7A619}" name="White Male Average Salary" dataDxfId="39" dataCellStyle="Currency"/>
    <tableColumn id="25" xr3:uid="{CBB54830-FF43-47D2-9AAD-1A777936634C}" name="White Female Occ Dist" dataDxfId="38" dataCellStyle="Percent">
      <calculatedColumnFormula>IFERROR(FemalePayGapsByOccupationalSeriesAndRacialEthnicGroup[[#This Row],[White Female Employees]]/E$318,"")</calculatedColumnFormula>
    </tableColumn>
    <tableColumn id="27" xr3:uid="{1E1D81F2-3ADC-4877-A4B3-771F61F42841}" name="White Female Employees" dataDxfId="37" dataCellStyle="Comma"/>
    <tableColumn id="26" xr3:uid="{0782A784-3046-405C-8BD2-FAAE48EAA03B}" name="White Female Avg Salary" dataDxfId="36" dataCellStyle="Currency"/>
    <tableColumn id="24" xr3:uid="{F82E72D1-E3FB-409A-BA6A-B31610E9D282}" name="White Female % White Male Avg Salary" dataDxfId="35" dataCellStyle="Percent">
      <calculatedColumnFormula>IFERROR(FemalePayGapsByOccupationalSeriesAndRacialEthnicGroup[[#This Row],[White Female Avg Salary]]/FemalePayGapsByOccupationalSeriesAndRacialEthnicGroup[[#This Row],[White Male Average Salary]],"")</calculatedColumnFormula>
    </tableColumn>
    <tableColumn id="4" xr3:uid="{4DC7A86C-0471-491F-8A5D-08F7BA9F5F27}" name="AIAN Female Occ Dist" dataDxfId="34" dataCellStyle="Percent">
      <calculatedColumnFormula>IFERROR(FemalePayGapsByOccupationalSeriesAndRacialEthnicGroup[[#This Row],[AIAN Female Employees]]/I$318,"")</calculatedColumnFormula>
    </tableColumn>
    <tableColumn id="5" xr3:uid="{6686A6A9-4A2D-48B0-9171-FFBC06B53C9C}" name="AIAN Female Employees"/>
    <tableColumn id="6" xr3:uid="{098E6DE3-5385-44C9-9282-CA7073DCECE2}" name="AIAN Female Avg Salary"/>
    <tableColumn id="7" xr3:uid="{83CDEA23-F5AC-423C-9334-4DE9241ABDB2}" name="AIAN Female % White Male Avg Salary" dataDxfId="33" dataCellStyle="Percent">
      <calculatedColumnFormula>IFERROR(FemalePayGapsByOccupationalSeriesAndRacialEthnicGroup[[#This Row],[AIAN Female Avg Salary]]/FemalePayGapsByOccupationalSeriesAndRacialEthnicGroup[[#This Row],[White Male Average Salary]],"")</calculatedColumnFormula>
    </tableColumn>
    <tableColumn id="8" xr3:uid="{47E11B68-8E8A-4825-8A26-F7BC5378D3D5}" name="ANHPI Female Occ Dist" dataDxfId="32" dataCellStyle="Percent">
      <calculatedColumnFormula>IFERROR(FemalePayGapsByOccupationalSeriesAndRacialEthnicGroup[[#This Row],[ANHPI Female Employees]]/M$318,"")</calculatedColumnFormula>
    </tableColumn>
    <tableColumn id="9" xr3:uid="{0210DF14-513E-4029-8206-76EDE03AD669}" name="ANHPI Female Employees" dataDxfId="31" dataCellStyle="Comma"/>
    <tableColumn id="10" xr3:uid="{EB80959B-80C7-4E15-9784-B08FCACFAC2A}" name="ANHPI Female Avg Salary" dataDxfId="30" dataCellStyle="Currency"/>
    <tableColumn id="11" xr3:uid="{6AC24D2D-F044-46F6-80C8-6A0F9E0B0E48}" name="ANHPI Female % White Male Avg Salary" dataDxfId="29" dataCellStyle="Percent">
      <calculatedColumnFormula>IFERROR(FemalePayGapsByOccupationalSeriesAndRacialEthnicGroup[[#This Row],[ANHPI Female Avg Salary]]/FemalePayGapsByOccupationalSeriesAndRacialEthnicGroup[[#This Row],[White Male Average Salary]],"")</calculatedColumnFormula>
    </tableColumn>
    <tableColumn id="12" xr3:uid="{B8F310B2-C4E6-48AF-B440-1A76AA63FA86}" name="Black Female Occ Dist" dataDxfId="28" dataCellStyle="Percent">
      <calculatedColumnFormula>IFERROR(FemalePayGapsByOccupationalSeriesAndRacialEthnicGroup[[#This Row],[Black Female Employees]]/Q$318,"")</calculatedColumnFormula>
    </tableColumn>
    <tableColumn id="13" xr3:uid="{87B58B3F-B343-46C2-A2E4-BAB795C00D3A}" name="Black Female Employees" dataDxfId="27" dataCellStyle="Comma"/>
    <tableColumn id="14" xr3:uid="{25D3117C-5459-4FE7-B643-A10BB24343E9}" name="Black Female Avg Salary" dataDxfId="26" dataCellStyle="Currency"/>
    <tableColumn id="15" xr3:uid="{E936F493-628B-4C30-A4FB-DC915E19F3D6}" name="Black Female % White Male Avg Salary" dataDxfId="25" dataCellStyle="Percent">
      <calculatedColumnFormula>IFERROR(FemalePayGapsByOccupationalSeriesAndRacialEthnicGroup[[#This Row],[Black Female Avg Salary]]/FemalePayGapsByOccupationalSeriesAndRacialEthnicGroup[[#This Row],[White Male Average Salary]],"")</calculatedColumnFormula>
    </tableColumn>
    <tableColumn id="16" xr3:uid="{779BEC9C-CB79-4FD1-BE9C-CC7F6A40C41C}" name="Hispanic - Latino Female Occ Dist" dataDxfId="24" dataCellStyle="Percent">
      <calculatedColumnFormula>IFERROR(FemalePayGapsByOccupationalSeriesAndRacialEthnicGroup[[#This Row],[Hispanic Latino Female Employees]]/U$318,"")</calculatedColumnFormula>
    </tableColumn>
    <tableColumn id="17" xr3:uid="{26B9D635-AAED-48E7-8454-466A23E580E0}" name="Hispanic Latino Female Employees" dataDxfId="23" dataCellStyle="Comma"/>
    <tableColumn id="18" xr3:uid="{7605DDDB-A614-4C77-B5A7-F3EC8DBEF28B}" name="Hispanic Latino Female Avg Salary" dataCellStyle="Currency"/>
    <tableColumn id="19" xr3:uid="{888EB4C6-8FE4-4DA6-93FA-A3B7255DCACC}" name="Hispanic Latino % White Female Avg Salary" dataDxfId="22" dataCellStyle="Percent">
      <calculatedColumnFormula>IFERROR(FemalePayGapsByOccupationalSeriesAndRacialEthnicGroup[[#This Row],[Hispanic Latino Female Avg Salary]]/FemalePayGapsByOccupationalSeriesAndRacialEthnicGroup[[#This Row],[White Male Average Salary]],"")</calculatedColumnFormula>
    </tableColumn>
    <tableColumn id="20" xr3:uid="{9EA88999-51DF-48BF-B550-857F547F9AF9}" name="Other Female Occ Dist" dataDxfId="21" dataCellStyle="Percent">
      <calculatedColumnFormula>IFERROR(FemalePayGapsByOccupationalSeriesAndRacialEthnicGroup[[#This Row],[Other Female Employees]]/Y$318,"")</calculatedColumnFormula>
    </tableColumn>
    <tableColumn id="21" xr3:uid="{C8411345-2A8C-4BBF-AF08-8ED293A0A147}" name="Other Female Employees" dataDxfId="20" dataCellStyle="Comma"/>
    <tableColumn id="22" xr3:uid="{68201496-5F3A-448D-B237-178D14DD0316}" name="Other Female Avg Salary" dataDxfId="19" dataCellStyle="Currency"/>
    <tableColumn id="23" xr3:uid="{A7F4C8D9-6356-48F5-A5CF-3681A06472DD}" name="Other Female % White Male Salary" dataDxfId="18" dataCellStyle="Percent">
      <calculatedColumnFormula>IFERROR(FemalePayGapsByOccupationalSeriesAndRacialEthnicGroup[[#This Row],[Other Female Avg Salary]]/FemalePayGapsByOccupationalSeriesAndRacialEthnicGroup[[#This Row],[White Male Average Salary]],"")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E464846-85E2-4F2C-B2DF-A511F3B3B81A}" name="FemalePopulationWeightedAveragesByOccupationalSeriesAndRacialEthnicGroup" displayName="FemalePopulationWeightedAveragesByOccupationalSeriesAndRacialEthnicGroup" ref="A3:G318" totalsRowShown="0" headerRowDxfId="17">
  <autoFilter ref="A3:G318" xr:uid="{EE464846-85E2-4F2C-B2DF-A511F3B3B81A}"/>
  <tableColumns count="7">
    <tableColumn id="1" xr3:uid="{4BCEFE7F-A836-40E1-9971-77FEDD6168E9}" name="Occupational series (100+ employees)" dataDxfId="16"/>
    <tableColumn id="7" xr3:uid="{8BEFF9B1-B4ED-4F65-ABF1-460301449F6C}" name="White Female" dataDxfId="15">
      <calculatedColumnFormula>IFERROR(ROUND(FemalePayGapsByOccupationalSeriesAndRacialEthnicGroup[[#This Row],[White Female Occ Dist]]*FemalePayGapsByOccupationalSeriesAndRacialEthnicGroup[[#This Row],[White Female % White Male Avg Salary]],7),"")</calculatedColumnFormula>
    </tableColumn>
    <tableColumn id="2" xr3:uid="{0E9A9484-7D35-4045-91F5-D2C39E770516}" name="AIAN Female" dataDxfId="14">
      <calculatedColumnFormula>IFERROR(ROUND(FemalePayGapsByOccupationalSeriesAndRacialEthnicGroup[[#This Row],[AIAN Female Occ Dist]]*FemalePayGapsByOccupationalSeriesAndRacialEthnicGroup[[#This Row],[AIAN Female % White Male Avg Salary]],7),"")</calculatedColumnFormula>
    </tableColumn>
    <tableColumn id="3" xr3:uid="{6066AD54-BA8F-4EA7-B756-A7DF27F048EF}" name="ANHPI Female" dataDxfId="13">
      <calculatedColumnFormula>IFERROR(ROUND(FemalePayGapsByOccupationalSeriesAndRacialEthnicGroup[[#This Row],[ANHPI Female Occ Dist]]*FemalePayGapsByOccupationalSeriesAndRacialEthnicGroup[[#This Row],[ANHPI Female % White Male Avg Salary]],7),"")</calculatedColumnFormula>
    </tableColumn>
    <tableColumn id="4" xr3:uid="{05F83372-3478-4010-9D1B-D855D365D08F}" name="Black Female" dataDxfId="12">
      <calculatedColumnFormula>IFERROR(ROUND(FemalePayGapsByOccupationalSeriesAndRacialEthnicGroup[[#This Row],[Black Female Occ Dist]]*FemalePayGapsByOccupationalSeriesAndRacialEthnicGroup[[#This Row],[Black Female % White Male Avg Salary]],7),"")</calculatedColumnFormula>
    </tableColumn>
    <tableColumn id="5" xr3:uid="{17BD50B9-35A4-470F-93D1-ADBAA06F9E15}" name="His-Lat Female" dataDxfId="11">
      <calculatedColumnFormula>IFERROR(ROUND(FemalePayGapsByOccupationalSeriesAndRacialEthnicGroup[[#This Row],[Hispanic - Latino Female Occ Dist]]*FemalePayGapsByOccupationalSeriesAndRacialEthnicGroup[[#This Row],[Hispanic Latino % White Female Avg Salary]],7),"")</calculatedColumnFormula>
    </tableColumn>
    <tableColumn id="6" xr3:uid="{DE3BFFBE-3847-4E70-AEF2-9EC5C2071026}" name="Other Female" dataDxfId="10">
      <calculatedColumnFormula>IFERROR(ROUND(FemalePayGapsByOccupationalSeriesAndRacialEthnicGroup[[#This Row],[Other Female Occ Dist]]*FemalePayGapsByOccupationalSeriesAndRacialEthnicGroup[[#This Row],[Other Female % White Male Salary]],7),"")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74AB89F-401F-4694-A595-DF311FB45326}" name="SalaryPercentageSummary" displayName="SalaryPercentageSummary" ref="A3:H14" totalsRowShown="0" headerRowDxfId="9" dataDxfId="8">
  <autoFilter ref="A3:H14" xr:uid="{274AB89F-401F-4694-A595-DF311FB45326}"/>
  <tableColumns count="8">
    <tableColumn id="1" xr3:uid="{DDE9F908-A0A2-4D4C-A1D6-88C6CB31CC42}" name="Racial/Ethnic Group and Gender" dataDxfId="7"/>
    <tableColumn id="2" xr3:uid="{5A79BA65-BFD5-4727-966E-9AACD9F16262}" name="Number of Occupations with a Salary Percentage &gt;=100 %" dataDxfId="6"/>
    <tableColumn id="3" xr3:uid="{AC86B31A-C9A1-495A-9FC3-AB6A54590360}" name="Percentage of Occupations with a Salary Percentage &gt;=100%" dataDxfId="5" dataCellStyle="Percent">
      <calculatedColumnFormula>B4/H4</calculatedColumnFormula>
    </tableColumn>
    <tableColumn id="4" xr3:uid="{B1872B1B-D45A-4B85-A746-87B70FAA13C8}" name="Number of Occupations with a Salary Percentage between 95-99.9%" dataDxfId="4"/>
    <tableColumn id="5" xr3:uid="{4711F2C6-83AA-4913-9B29-3C0B0B1419EA}" name="Percentage of Occupations with a Salary Percentage between 95-99.9%" dataDxfId="3" dataCellStyle="Percent">
      <calculatedColumnFormula>D4/H4</calculatedColumnFormula>
    </tableColumn>
    <tableColumn id="9" xr3:uid="{17EDC420-748A-4214-9172-9CBE1FC63758}" name="Number of Occupations with a Salary Percentage &lt;95%" dataDxfId="2" dataCellStyle="Comma">
      <calculatedColumnFormula>COUNTIF(PayGapsForMalesInRacialEthnicGroupsByOccupationalSeries[AIAN Male % White Male Avg Salary],"&lt;.95")</calculatedColumnFormula>
    </tableColumn>
    <tableColumn id="8" xr3:uid="{B5BE5A91-C848-4891-B73C-0F710D599720}" name="Percentage of Occupations with a Salary Percentage &lt;95%" dataDxfId="1" dataCellStyle="Percent">
      <calculatedColumnFormula>SalaryPercentageSummary[[#This Row],[Number of Occupations with a Salary Percentage &lt;95%]]/SalaryPercentageSummary[[#This Row],[Total Number of Occupations]]</calculatedColumnFormula>
    </tableColumn>
    <tableColumn id="6" xr3:uid="{DAF855BE-74C1-4D82-8123-06BE0E64C51B}" name="Total Number of Occupat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7E919-1D5B-4BBF-8F99-3FF69057B3AD}">
  <dimension ref="A1:W318"/>
  <sheetViews>
    <sheetView zoomScaleNormal="100" workbookViewId="0">
      <selection activeCell="A3" sqref="A3"/>
    </sheetView>
  </sheetViews>
  <sheetFormatPr defaultRowHeight="14.4" x14ac:dyDescent="0.3"/>
  <cols>
    <col min="1" max="1" width="36.5546875" customWidth="1"/>
    <col min="2" max="2" width="14.5546875" style="8" customWidth="1"/>
    <col min="3" max="3" width="14.33203125" style="6" customWidth="1"/>
    <col min="4" max="4" width="11.88671875" style="10" customWidth="1"/>
    <col min="5" max="5" width="14.44140625" style="8" customWidth="1"/>
    <col min="6" max="6" width="12" style="6" customWidth="1"/>
    <col min="7" max="7" width="14" style="1" customWidth="1"/>
    <col min="8" max="8" width="13.88671875" style="10" customWidth="1"/>
    <col min="9" max="9" width="14.109375" style="8" customWidth="1"/>
    <col min="10" max="10" width="14.88671875" style="6" customWidth="1"/>
    <col min="11" max="11" width="14.5546875" style="1" customWidth="1"/>
    <col min="12" max="12" width="12.33203125" style="10" customWidth="1"/>
    <col min="13" max="13" width="13.109375" style="8" customWidth="1"/>
    <col min="14" max="14" width="12.6640625" style="6" customWidth="1"/>
    <col min="15" max="15" width="13" style="1" customWidth="1"/>
    <col min="16" max="16" width="13.5546875" style="10" customWidth="1"/>
    <col min="17" max="17" width="12.6640625" style="8" customWidth="1"/>
    <col min="18" max="18" width="11.5546875" style="6" customWidth="1"/>
    <col min="19" max="19" width="15.5546875" style="1" customWidth="1"/>
    <col min="20" max="20" width="10.6640625" style="10" customWidth="1"/>
    <col min="21" max="21" width="14" style="8" customWidth="1"/>
    <col min="22" max="22" width="10.88671875" style="6" customWidth="1"/>
    <col min="23" max="23" width="14" style="1" customWidth="1"/>
  </cols>
  <sheetData>
    <row r="1" spans="1:23" ht="21" x14ac:dyDescent="0.3">
      <c r="A1" s="2" t="s">
        <v>384</v>
      </c>
      <c r="B1" s="7"/>
      <c r="C1" s="5"/>
      <c r="D1" s="9"/>
    </row>
    <row r="2" spans="1:23" ht="18.600000000000001" thickBot="1" x14ac:dyDescent="0.4">
      <c r="A2" s="3" t="s">
        <v>388</v>
      </c>
    </row>
    <row r="3" spans="1:23" ht="63" thickTop="1" x14ac:dyDescent="0.3">
      <c r="A3" s="4" t="s">
        <v>6</v>
      </c>
      <c r="B3" s="23" t="s">
        <v>328</v>
      </c>
      <c r="C3" s="24" t="s">
        <v>329</v>
      </c>
      <c r="D3" s="11" t="s">
        <v>332</v>
      </c>
      <c r="E3" s="12" t="s">
        <v>331</v>
      </c>
      <c r="F3" s="13" t="s">
        <v>330</v>
      </c>
      <c r="G3" s="14" t="s">
        <v>333</v>
      </c>
      <c r="H3" s="11" t="s">
        <v>334</v>
      </c>
      <c r="I3" s="12" t="s">
        <v>335</v>
      </c>
      <c r="J3" s="13" t="s">
        <v>336</v>
      </c>
      <c r="K3" s="14" t="s">
        <v>337</v>
      </c>
      <c r="L3" s="11" t="s">
        <v>338</v>
      </c>
      <c r="M3" s="12" t="s">
        <v>339</v>
      </c>
      <c r="N3" s="13" t="s">
        <v>340</v>
      </c>
      <c r="O3" s="14" t="s">
        <v>341</v>
      </c>
      <c r="P3" s="11" t="s">
        <v>346</v>
      </c>
      <c r="Q3" s="12" t="s">
        <v>347</v>
      </c>
      <c r="R3" s="13" t="s">
        <v>348</v>
      </c>
      <c r="S3" s="14" t="s">
        <v>349</v>
      </c>
      <c r="T3" s="11" t="s">
        <v>342</v>
      </c>
      <c r="U3" s="12" t="s">
        <v>343</v>
      </c>
      <c r="V3" s="13" t="s">
        <v>344</v>
      </c>
      <c r="W3" s="14" t="s">
        <v>345</v>
      </c>
    </row>
    <row r="4" spans="1:23" ht="31.2" x14ac:dyDescent="0.3">
      <c r="A4" s="4" t="s">
        <v>15</v>
      </c>
      <c r="B4" s="25">
        <v>695</v>
      </c>
      <c r="C4" s="26">
        <v>112926.260431655</v>
      </c>
      <c r="D4" s="15" t="s">
        <v>0</v>
      </c>
      <c r="E4" s="16" t="s">
        <v>0</v>
      </c>
      <c r="F4" s="17" t="s">
        <v>0</v>
      </c>
      <c r="G4" s="18" t="s">
        <v>0</v>
      </c>
      <c r="H4" s="15" t="s">
        <v>0</v>
      </c>
      <c r="I4" s="16" t="s">
        <v>0</v>
      </c>
      <c r="J4" s="17" t="s">
        <v>0</v>
      </c>
      <c r="K4" s="18" t="s">
        <v>0</v>
      </c>
      <c r="L4" s="15">
        <f>IFERROR(PayGapsForMalesInRacialEthnicGroupsByOccupationalSeries[[#This Row],[Black Male Employees]]/M$318,"")</f>
        <v>1.5198176218853738E-3</v>
      </c>
      <c r="M4" s="16">
        <v>190</v>
      </c>
      <c r="N4" s="17">
        <v>112627.2</v>
      </c>
      <c r="O4" s="18">
        <f>IFERROR(PayGapsForMalesInRacialEthnicGroupsByOccupationalSeries[[#This Row],[Black Male Avg Salary]]/PayGapsForMalesInRacialEthnicGroupsByOccupationalSeries[[#This Row],[White Male Average Salary]],"")</f>
        <v>0.99735171933869182</v>
      </c>
      <c r="P4" s="15">
        <f>IFERROR(PayGapsForMalesInRacialEthnicGroupsByOccupationalSeries[[#This Row],[Hispanic Latino Male Employees]]/Q$318,"")</f>
        <v>1.3925169998881921E-3</v>
      </c>
      <c r="Q4" s="16">
        <v>137</v>
      </c>
      <c r="R4" s="17">
        <v>111243.00729927</v>
      </c>
      <c r="S4" s="18">
        <f>IFERROR(PayGapsForMalesInRacialEthnicGroupsByOccupationalSeries[[#This Row],[Hispanic Latino Male Avg Salary]]/PayGapsForMalesInRacialEthnicGroupsByOccupationalSeries[[#This Row],[White Male Average Salary]],"")</f>
        <v>0.98509422763181176</v>
      </c>
      <c r="T4" s="15" t="str">
        <f>IFERROR(PayGapsForMalesInRacialEthnicGroupsByOccupationalSeries[[#This Row],[Other Male Employees]]/U$318,"")</f>
        <v/>
      </c>
      <c r="U4" s="16" t="s">
        <v>0</v>
      </c>
      <c r="V4" s="17" t="s">
        <v>0</v>
      </c>
      <c r="W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5" spans="1:23" ht="15.6" x14ac:dyDescent="0.3">
      <c r="A5" s="4" t="s">
        <v>16</v>
      </c>
      <c r="B5" s="25">
        <v>8514</v>
      </c>
      <c r="C5" s="26">
        <v>64583.877011629003</v>
      </c>
      <c r="D5" s="15">
        <f>IFERROR(PayGapsForMalesInRacialEthnicGroupsByOccupationalSeries[[#This Row],[AIAN Male Employees]]/E$318,"")</f>
        <v>2.0570264765784115E-2</v>
      </c>
      <c r="E5" s="16">
        <v>202</v>
      </c>
      <c r="F5" s="17">
        <v>62201.787128712996</v>
      </c>
      <c r="G5" s="18">
        <f>PayGapsForMalesInRacialEthnicGroupsByOccupationalSeries[[#This Row],[AIAN Male Avg Salary]]/PayGapsForMalesInRacialEthnicGroupsByOccupationalSeries[[#This Row],[White Male Average Salary]]</f>
        <v>0.96311633811505171</v>
      </c>
      <c r="H5" s="15">
        <f>IFERROR(PayGapsForMalesInRacialEthnicGroupsByOccupationalSeries[[#This Row],[ANHPI Male Employees]]/I$318,"")</f>
        <v>3.1492248062015503E-3</v>
      </c>
      <c r="I5" s="16">
        <v>208</v>
      </c>
      <c r="J5" s="17">
        <v>66869.5</v>
      </c>
      <c r="K5" s="18">
        <f>PayGapsForMalesInRacialEthnicGroupsByOccupationalSeries[[#This Row],[ANHPI Male Avg Salary]]/PayGapsForMalesInRacialEthnicGroupsByOccupationalSeries[[#This Row],[White Male Average Salary]]</f>
        <v>1.0353899935112203</v>
      </c>
      <c r="L5" s="15">
        <f>IFERROR(PayGapsForMalesInRacialEthnicGroupsByOccupationalSeries[[#This Row],[Black Male Employees]]/M$318,"")</f>
        <v>1.7701875774907012E-2</v>
      </c>
      <c r="M5" s="16">
        <v>2213</v>
      </c>
      <c r="N5" s="17">
        <v>65861.208860758998</v>
      </c>
      <c r="O5" s="18">
        <f>IFERROR(PayGapsForMalesInRacialEthnicGroupsByOccupationalSeries[[#This Row],[Black Male Avg Salary]]/PayGapsForMalesInRacialEthnicGroupsByOccupationalSeries[[#This Row],[White Male Average Salary]],"")</f>
        <v>1.0197778750399267</v>
      </c>
      <c r="P5" s="15">
        <f>IFERROR(PayGapsForMalesInRacialEthnicGroupsByOccupationalSeries[[#This Row],[Hispanic Latino Male Employees]]/Q$318,"")</f>
        <v>2.1568766961771849E-2</v>
      </c>
      <c r="Q5" s="16">
        <v>2122</v>
      </c>
      <c r="R5" s="17">
        <v>65702.184260131995</v>
      </c>
      <c r="S5" s="18">
        <f>IFERROR(PayGapsForMalesInRacialEthnicGroupsByOccupationalSeries[[#This Row],[Hispanic Latino Male Avg Salary]]/PayGapsForMalesInRacialEthnicGroupsByOccupationalSeries[[#This Row],[White Male Average Salary]],"")</f>
        <v>1.0173155793713287</v>
      </c>
      <c r="T5" s="15">
        <f>IFERROR(PayGapsForMalesInRacialEthnicGroupsByOccupationalSeries[[#This Row],[Other Male Employees]]/U$318,"")</f>
        <v>9.7017236040871091E-3</v>
      </c>
      <c r="U5" s="16">
        <v>188</v>
      </c>
      <c r="V5" s="17">
        <v>61579.313829787003</v>
      </c>
      <c r="W5" s="18">
        <f>IFERROR(PayGapsForMalesInRacialEthnicGroupsByOccupationalSeries[[#This Row],[Other Male Avg Salary]]/PayGapsForMalesInRacialEthnicGroupsByOccupationalSeries[[#This Row],[White Male Average Salary]],"")</f>
        <v>0.95347812301046908</v>
      </c>
    </row>
    <row r="6" spans="1:23" ht="15.6" x14ac:dyDescent="0.3">
      <c r="A6" s="4" t="s">
        <v>17</v>
      </c>
      <c r="B6" s="25">
        <v>255</v>
      </c>
      <c r="C6" s="26">
        <v>101678.137254902</v>
      </c>
      <c r="D6" s="15" t="str">
        <f>IFERROR(PayGapsForMalesInRacialEthnicGroupsByOccupationalSeries[[#This Row],[AIAN Male Employees]]/E$318,"")</f>
        <v/>
      </c>
      <c r="E6" s="16" t="s">
        <v>0</v>
      </c>
      <c r="F6" s="17" t="s">
        <v>0</v>
      </c>
      <c r="G6" s="18" t="s">
        <v>0</v>
      </c>
      <c r="H6" s="15" t="str">
        <f>IFERROR(PayGapsForMalesInRacialEthnicGroupsByOccupationalSeries[[#This Row],[ANHPI Male Employees]]/I$318,"")</f>
        <v/>
      </c>
      <c r="I6" s="16" t="s">
        <v>0</v>
      </c>
      <c r="J6" s="17" t="s">
        <v>0</v>
      </c>
      <c r="K6" s="18" t="s">
        <v>0</v>
      </c>
      <c r="L6" s="15" t="str">
        <f>IFERROR(PayGapsForMalesInRacialEthnicGroupsByOccupationalSeries[[#This Row],[Black Male Employees]]/M$318,"")</f>
        <v/>
      </c>
      <c r="M6" s="16" t="s">
        <v>0</v>
      </c>
      <c r="N6" s="17" t="s">
        <v>0</v>
      </c>
      <c r="O6" s="18" t="str">
        <f>IFERROR(PayGapsForMalesInRacialEthnicGroupsByOccupationalSeries[[#This Row],[Black Male Avg Salary]]/PayGapsForMalesInRacialEthnicGroupsByOccupationalSeries[[#This Row],[White Male Average Salary]],"")</f>
        <v/>
      </c>
      <c r="P6" s="15" t="str">
        <f>IFERROR(PayGapsForMalesInRacialEthnicGroupsByOccupationalSeries[[#This Row],[Hispanic Latino Male Employees]]/Q$318,"")</f>
        <v/>
      </c>
      <c r="Q6" s="16" t="s">
        <v>0</v>
      </c>
      <c r="R6" s="17" t="s">
        <v>0</v>
      </c>
      <c r="S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6" s="15" t="str">
        <f>IFERROR(PayGapsForMalesInRacialEthnicGroupsByOccupationalSeries[[#This Row],[Other Male Employees]]/U$318,"")</f>
        <v/>
      </c>
      <c r="U6" s="16" t="s">
        <v>0</v>
      </c>
      <c r="V6" s="17" t="s">
        <v>0</v>
      </c>
      <c r="W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7" spans="1:23" ht="31.2" x14ac:dyDescent="0.3">
      <c r="A7" s="4" t="s">
        <v>18</v>
      </c>
      <c r="B7" s="25">
        <v>3514</v>
      </c>
      <c r="C7" s="26">
        <v>98615.298405466994</v>
      </c>
      <c r="D7" s="15" t="str">
        <f>IFERROR(PayGapsForMalesInRacialEthnicGroupsByOccupationalSeries[[#This Row],[AIAN Male Employees]]/E$318,"")</f>
        <v/>
      </c>
      <c r="E7" s="16" t="s">
        <v>0</v>
      </c>
      <c r="F7" s="17" t="s">
        <v>0</v>
      </c>
      <c r="G7" s="18" t="s">
        <v>0</v>
      </c>
      <c r="H7" s="15">
        <f>IFERROR(PayGapsForMalesInRacialEthnicGroupsByOccupationalSeries[[#This Row],[ANHPI Male Employees]]/I$318,"")</f>
        <v>2.1650920542635658E-3</v>
      </c>
      <c r="I7" s="16">
        <v>143</v>
      </c>
      <c r="J7" s="17">
        <v>95395.104895105003</v>
      </c>
      <c r="K7" s="18">
        <f>PayGapsForMalesInRacialEthnicGroupsByOccupationalSeries[[#This Row],[ANHPI Male Avg Salary]]/PayGapsForMalesInRacialEthnicGroupsByOccupationalSeries[[#This Row],[White Male Average Salary]]</f>
        <v>0.96734590309586821</v>
      </c>
      <c r="L7" s="15">
        <f>IFERROR(PayGapsForMalesInRacialEthnicGroupsByOccupationalSeries[[#This Row],[Black Male Employees]]/M$318,"")</f>
        <v>5.0073991121065472E-3</v>
      </c>
      <c r="M7" s="16">
        <v>626</v>
      </c>
      <c r="N7" s="17">
        <v>96819.084664537004</v>
      </c>
      <c r="O7" s="18">
        <f>IFERROR(PayGapsForMalesInRacialEthnicGroupsByOccupationalSeries[[#This Row],[Black Male Avg Salary]]/PayGapsForMalesInRacialEthnicGroupsByOccupationalSeries[[#This Row],[White Male Average Salary]],"")</f>
        <v>0.98178564817048297</v>
      </c>
      <c r="P7" s="15">
        <f>IFERROR(PayGapsForMalesInRacialEthnicGroupsByOccupationalSeries[[#This Row],[Hispanic Latino Male Employees]]/Q$318,"")</f>
        <v>4.2893589339621681E-3</v>
      </c>
      <c r="Q7" s="16">
        <v>422</v>
      </c>
      <c r="R7" s="17">
        <v>92401.694312795997</v>
      </c>
      <c r="S7" s="18">
        <f>IFERROR(PayGapsForMalesInRacialEthnicGroupsByOccupationalSeries[[#This Row],[Hispanic Latino Male Avg Salary]]/PayGapsForMalesInRacialEthnicGroupsByOccupationalSeries[[#This Row],[White Male Average Salary]],"")</f>
        <v>0.93699147907941094</v>
      </c>
      <c r="T7" s="15">
        <f>IFERROR(PayGapsForMalesInRacialEthnicGroupsByOccupationalSeries[[#This Row],[Other Male Employees]]/U$318,"")</f>
        <v>6.8634534007637523E-3</v>
      </c>
      <c r="U7" s="16">
        <v>133</v>
      </c>
      <c r="V7" s="17">
        <v>98339.962406014994</v>
      </c>
      <c r="W7" s="18">
        <f>IFERROR(PayGapsForMalesInRacialEthnicGroupsByOccupationalSeries[[#This Row],[Other Male Avg Salary]]/PayGapsForMalesInRacialEthnicGroupsByOccupationalSeries[[#This Row],[White Male Average Salary]],"")</f>
        <v>0.99720797884401335</v>
      </c>
    </row>
    <row r="8" spans="1:23" ht="15.6" x14ac:dyDescent="0.3">
      <c r="A8" s="4" t="s">
        <v>19</v>
      </c>
      <c r="B8" s="25">
        <v>406</v>
      </c>
      <c r="C8" s="26">
        <v>108350.389162562</v>
      </c>
      <c r="D8" s="15" t="str">
        <f>IFERROR(PayGapsForMalesInRacialEthnicGroupsByOccupationalSeries[[#This Row],[AIAN Male Employees]]/E$318,"")</f>
        <v/>
      </c>
      <c r="E8" s="16" t="s">
        <v>0</v>
      </c>
      <c r="F8" s="17" t="s">
        <v>0</v>
      </c>
      <c r="G8" s="18" t="s">
        <v>0</v>
      </c>
      <c r="H8" s="15" t="str">
        <f>IFERROR(PayGapsForMalesInRacialEthnicGroupsByOccupationalSeries[[#This Row],[ANHPI Male Employees]]/I$318,"")</f>
        <v/>
      </c>
      <c r="I8" s="16" t="s">
        <v>0</v>
      </c>
      <c r="J8" s="17" t="s">
        <v>0</v>
      </c>
      <c r="K8" s="18" t="s">
        <v>0</v>
      </c>
      <c r="L8" s="15">
        <f>IFERROR(PayGapsForMalesInRacialEthnicGroupsByOccupationalSeries[[#This Row],[Black Male Employees]]/M$318,"")</f>
        <v>5.0393952725672918E-4</v>
      </c>
      <c r="M8" s="16">
        <v>63</v>
      </c>
      <c r="N8" s="17">
        <v>109386.507936508</v>
      </c>
      <c r="O8" s="18">
        <f>IFERROR(PayGapsForMalesInRacialEthnicGroupsByOccupationalSeries[[#This Row],[Black Male Avg Salary]]/PayGapsForMalesInRacialEthnicGroupsByOccupationalSeries[[#This Row],[White Male Average Salary]],"")</f>
        <v>1.0095626677666241</v>
      </c>
      <c r="P8" s="15" t="str">
        <f>IFERROR(PayGapsForMalesInRacialEthnicGroupsByOccupationalSeries[[#This Row],[Hispanic Latino Male Employees]]/Q$318,"")</f>
        <v/>
      </c>
      <c r="Q8" s="16" t="s">
        <v>0</v>
      </c>
      <c r="R8" s="17" t="s">
        <v>0</v>
      </c>
      <c r="S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8" s="15" t="str">
        <f>IFERROR(PayGapsForMalesInRacialEthnicGroupsByOccupationalSeries[[#This Row],[Other Male Employees]]/U$318,"")</f>
        <v/>
      </c>
      <c r="U8" s="16" t="s">
        <v>0</v>
      </c>
      <c r="V8" s="17" t="s">
        <v>0</v>
      </c>
      <c r="W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9" spans="1:23" ht="15.6" x14ac:dyDescent="0.3">
      <c r="A9" s="4" t="s">
        <v>20</v>
      </c>
      <c r="B9" s="25">
        <v>179</v>
      </c>
      <c r="C9" s="26">
        <v>82798.804469273993</v>
      </c>
      <c r="D9" s="15" t="str">
        <f>IFERROR(PayGapsForMalesInRacialEthnicGroupsByOccupationalSeries[[#This Row],[AIAN Male Employees]]/E$318,"")</f>
        <v/>
      </c>
      <c r="E9" s="16" t="s">
        <v>0</v>
      </c>
      <c r="F9" s="17" t="s">
        <v>0</v>
      </c>
      <c r="G9" s="18" t="s">
        <v>0</v>
      </c>
      <c r="H9" s="15" t="str">
        <f>IFERROR(PayGapsForMalesInRacialEthnicGroupsByOccupationalSeries[[#This Row],[ANHPI Male Employees]]/I$318,"")</f>
        <v/>
      </c>
      <c r="I9" s="16" t="s">
        <v>0</v>
      </c>
      <c r="J9" s="17" t="s">
        <v>0</v>
      </c>
      <c r="K9" s="18" t="s">
        <v>0</v>
      </c>
      <c r="L9" s="15" t="str">
        <f>IFERROR(PayGapsForMalesInRacialEthnicGroupsByOccupationalSeries[[#This Row],[Black Male Employees]]/M$318,"")</f>
        <v/>
      </c>
      <c r="M9" s="16" t="s">
        <v>0</v>
      </c>
      <c r="N9" s="17" t="s">
        <v>0</v>
      </c>
      <c r="O9" s="18" t="str">
        <f>IFERROR(PayGapsForMalesInRacialEthnicGroupsByOccupationalSeries[[#This Row],[Black Male Avg Salary]]/PayGapsForMalesInRacialEthnicGroupsByOccupationalSeries[[#This Row],[White Male Average Salary]],"")</f>
        <v/>
      </c>
      <c r="P9" s="15" t="str">
        <f>IFERROR(PayGapsForMalesInRacialEthnicGroupsByOccupationalSeries[[#This Row],[Hispanic Latino Male Employees]]/Q$318,"")</f>
        <v/>
      </c>
      <c r="Q9" s="16" t="s">
        <v>0</v>
      </c>
      <c r="R9" s="17" t="s">
        <v>0</v>
      </c>
      <c r="S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9" s="15" t="str">
        <f>IFERROR(PayGapsForMalesInRacialEthnicGroupsByOccupationalSeries[[#This Row],[Other Male Employees]]/U$318,"")</f>
        <v/>
      </c>
      <c r="U9" s="16" t="s">
        <v>0</v>
      </c>
      <c r="V9" s="17" t="s">
        <v>0</v>
      </c>
      <c r="W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0" spans="1:23" ht="15.6" x14ac:dyDescent="0.3">
      <c r="A10" s="4" t="s">
        <v>21</v>
      </c>
      <c r="B10" s="25">
        <v>1622</v>
      </c>
      <c r="C10" s="26">
        <v>81222.231812576996</v>
      </c>
      <c r="D10" s="15" t="str">
        <f>IFERROR(PayGapsForMalesInRacialEthnicGroupsByOccupationalSeries[[#This Row],[AIAN Male Employees]]/E$318,"")</f>
        <v/>
      </c>
      <c r="E10" s="16" t="s">
        <v>0</v>
      </c>
      <c r="F10" s="17" t="s">
        <v>0</v>
      </c>
      <c r="G10" s="18" t="s">
        <v>0</v>
      </c>
      <c r="H10" s="15" t="str">
        <f>IFERROR(PayGapsForMalesInRacialEthnicGroupsByOccupationalSeries[[#This Row],[ANHPI Male Employees]]/I$318,"")</f>
        <v/>
      </c>
      <c r="I10" s="16" t="s">
        <v>0</v>
      </c>
      <c r="J10" s="17" t="s">
        <v>0</v>
      </c>
      <c r="K10" s="18" t="s">
        <v>0</v>
      </c>
      <c r="L10" s="15">
        <f>IFERROR(PayGapsForMalesInRacialEthnicGroupsByOccupationalSeries[[#This Row],[Black Male Employees]]/M$318,"")</f>
        <v>4.7194336679598449E-4</v>
      </c>
      <c r="M10" s="16">
        <v>59</v>
      </c>
      <c r="N10" s="17">
        <v>86781.542372880998</v>
      </c>
      <c r="O10" s="18">
        <f>IFERROR(PayGapsForMalesInRacialEthnicGroupsByOccupationalSeries[[#This Row],[Black Male Avg Salary]]/PayGapsForMalesInRacialEthnicGroupsByOccupationalSeries[[#This Row],[White Male Average Salary]],"")</f>
        <v>1.0684456759712329</v>
      </c>
      <c r="P10" s="15">
        <f>IFERROR(PayGapsForMalesInRacialEthnicGroupsByOccupationalSeries[[#This Row],[Hispanic Latino Male Employees]]/Q$318,"")</f>
        <v>1.3315308539076872E-3</v>
      </c>
      <c r="Q10" s="16">
        <v>131</v>
      </c>
      <c r="R10" s="17">
        <v>78463.580152672002</v>
      </c>
      <c r="S10" s="18">
        <f>IFERROR(PayGapsForMalesInRacialEthnicGroupsByOccupationalSeries[[#This Row],[Hispanic Latino Male Avg Salary]]/PayGapsForMalesInRacialEthnicGroupsByOccupationalSeries[[#This Row],[White Male Average Salary]],"")</f>
        <v>0.966035756487575</v>
      </c>
      <c r="T10" s="15" t="str">
        <f>IFERROR(PayGapsForMalesInRacialEthnicGroupsByOccupationalSeries[[#This Row],[Other Male Employees]]/U$318,"")</f>
        <v/>
      </c>
      <c r="U10" s="16" t="s">
        <v>0</v>
      </c>
      <c r="V10" s="17" t="s">
        <v>0</v>
      </c>
      <c r="W1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1" spans="1:23" ht="31.2" x14ac:dyDescent="0.3">
      <c r="A11" s="4" t="s">
        <v>22</v>
      </c>
      <c r="B11" s="25">
        <v>1719</v>
      </c>
      <c r="C11" s="26">
        <v>109505.60558464201</v>
      </c>
      <c r="D11" s="15" t="str">
        <f>IFERROR(PayGapsForMalesInRacialEthnicGroupsByOccupationalSeries[[#This Row],[AIAN Male Employees]]/E$318,"")</f>
        <v/>
      </c>
      <c r="E11" s="16" t="s">
        <v>0</v>
      </c>
      <c r="F11" s="17" t="s">
        <v>0</v>
      </c>
      <c r="G11" s="18" t="s">
        <v>0</v>
      </c>
      <c r="H11" s="15">
        <f>IFERROR(PayGapsForMalesInRacialEthnicGroupsByOccupationalSeries[[#This Row],[ANHPI Male Employees]]/I$318,"")</f>
        <v>1.9985465116279071E-3</v>
      </c>
      <c r="I11" s="16">
        <v>132</v>
      </c>
      <c r="J11" s="17">
        <v>100713.090909091</v>
      </c>
      <c r="K11" s="18">
        <f>PayGapsForMalesInRacialEthnicGroupsByOccupationalSeries[[#This Row],[ANHPI Male Avg Salary]]/PayGapsForMalesInRacialEthnicGroupsByOccupationalSeries[[#This Row],[White Male Average Salary]]</f>
        <v>0.91970717271861613</v>
      </c>
      <c r="L11" s="15">
        <f>IFERROR(PayGapsForMalesInRacialEthnicGroupsByOccupationalSeries[[#This Row],[Black Male Employees]]/M$318,"")</f>
        <v>2.1117465904091511E-3</v>
      </c>
      <c r="M11" s="16">
        <v>264</v>
      </c>
      <c r="N11" s="17">
        <v>96503.159090909001</v>
      </c>
      <c r="O11" s="18">
        <f>IFERROR(PayGapsForMalesInRacialEthnicGroupsByOccupationalSeries[[#This Row],[Black Male Avg Salary]]/PayGapsForMalesInRacialEthnicGroupsByOccupationalSeries[[#This Row],[White Male Average Salary]],"")</f>
        <v>0.88126227489164644</v>
      </c>
      <c r="P11" s="15">
        <f>IFERROR(PayGapsForMalesInRacialEthnicGroupsByOccupationalSeries[[#This Row],[Hispanic Latino Male Employees]]/Q$318,"")</f>
        <v>2.1345151093176665E-3</v>
      </c>
      <c r="Q11" s="16">
        <v>210</v>
      </c>
      <c r="R11" s="17">
        <v>100533.50952381</v>
      </c>
      <c r="S11" s="18">
        <f>IFERROR(PayGapsForMalesInRacialEthnicGroupsByOccupationalSeries[[#This Row],[Hispanic Latino Male Avg Salary]]/PayGapsForMalesInRacialEthnicGroupsByOccupationalSeries[[#This Row],[White Male Average Salary]],"")</f>
        <v>0.91806724401978623</v>
      </c>
      <c r="T11" s="15">
        <f>IFERROR(PayGapsForMalesInRacialEthnicGroupsByOccupationalSeries[[#This Row],[Other Male Employees]]/U$318,"")</f>
        <v>2.9930849416864485E-3</v>
      </c>
      <c r="U11" s="16">
        <v>58</v>
      </c>
      <c r="V11" s="17">
        <v>108350.137931034</v>
      </c>
      <c r="W11" s="18">
        <f>IFERROR(PayGapsForMalesInRacialEthnicGroupsByOccupationalSeries[[#This Row],[Other Male Avg Salary]]/PayGapsForMalesInRacialEthnicGroupsByOccupationalSeries[[#This Row],[White Male Average Salary]],"")</f>
        <v>0.98944832415254858</v>
      </c>
    </row>
    <row r="12" spans="1:23" ht="15.6" x14ac:dyDescent="0.3">
      <c r="A12" s="4" t="s">
        <v>23</v>
      </c>
      <c r="B12" s="25">
        <v>146</v>
      </c>
      <c r="C12" s="26">
        <v>69786.075862069003</v>
      </c>
      <c r="D12" s="15" t="str">
        <f>IFERROR(PayGapsForMalesInRacialEthnicGroupsByOccupationalSeries[[#This Row],[AIAN Male Employees]]/E$318,"")</f>
        <v/>
      </c>
      <c r="E12" s="16" t="s">
        <v>0</v>
      </c>
      <c r="F12" s="17" t="s">
        <v>0</v>
      </c>
      <c r="G12" s="18" t="s">
        <v>0</v>
      </c>
      <c r="H12" s="15" t="str">
        <f>IFERROR(PayGapsForMalesInRacialEthnicGroupsByOccupationalSeries[[#This Row],[ANHPI Male Employees]]/I$318,"")</f>
        <v/>
      </c>
      <c r="I12" s="16" t="s">
        <v>0</v>
      </c>
      <c r="J12" s="17" t="s">
        <v>0</v>
      </c>
      <c r="K12" s="18" t="s">
        <v>0</v>
      </c>
      <c r="L12" s="15">
        <f>IFERROR(PayGapsForMalesInRacialEthnicGroupsByOccupationalSeries[[#This Row],[Black Male Employees]]/M$318,"")</f>
        <v>6.8791744990601123E-4</v>
      </c>
      <c r="M12" s="16">
        <v>86</v>
      </c>
      <c r="N12" s="17">
        <v>70839.348837209007</v>
      </c>
      <c r="O12" s="18">
        <f>IFERROR(PayGapsForMalesInRacialEthnicGroupsByOccupationalSeries[[#This Row],[Black Male Avg Salary]]/PayGapsForMalesInRacialEthnicGroupsByOccupationalSeries[[#This Row],[White Male Average Salary]],"")</f>
        <v>1.0150928815258473</v>
      </c>
      <c r="P12" s="15" t="str">
        <f>IFERROR(PayGapsForMalesInRacialEthnicGroupsByOccupationalSeries[[#This Row],[Hispanic Latino Male Employees]]/Q$318,"")</f>
        <v/>
      </c>
      <c r="Q12" s="16" t="s">
        <v>0</v>
      </c>
      <c r="R12" s="17" t="s">
        <v>0</v>
      </c>
      <c r="S1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2" s="15" t="str">
        <f>IFERROR(PayGapsForMalesInRacialEthnicGroupsByOccupationalSeries[[#This Row],[Other Male Employees]]/U$318,"")</f>
        <v/>
      </c>
      <c r="U12" s="16" t="s">
        <v>0</v>
      </c>
      <c r="V12" s="17" t="s">
        <v>0</v>
      </c>
      <c r="W1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3" spans="1:23" ht="15.6" x14ac:dyDescent="0.3">
      <c r="A13" s="4" t="s">
        <v>24</v>
      </c>
      <c r="B13" s="25">
        <v>469</v>
      </c>
      <c r="C13" s="26">
        <v>96782.925053533007</v>
      </c>
      <c r="D13" s="15" t="str">
        <f>IFERROR(PayGapsForMalesInRacialEthnicGroupsByOccupationalSeries[[#This Row],[AIAN Male Employees]]/E$318,"")</f>
        <v/>
      </c>
      <c r="E13" s="16" t="s">
        <v>0</v>
      </c>
      <c r="F13" s="17" t="s">
        <v>0</v>
      </c>
      <c r="G13" s="18" t="s">
        <v>0</v>
      </c>
      <c r="H13" s="15" t="str">
        <f>IFERROR(PayGapsForMalesInRacialEthnicGroupsByOccupationalSeries[[#This Row],[ANHPI Male Employees]]/I$318,"")</f>
        <v/>
      </c>
      <c r="I13" s="16" t="s">
        <v>0</v>
      </c>
      <c r="J13" s="17" t="s">
        <v>0</v>
      </c>
      <c r="K13" s="18" t="s">
        <v>0</v>
      </c>
      <c r="L13" s="15">
        <f>IFERROR(PayGapsForMalesInRacialEthnicGroupsByOccupationalSeries[[#This Row],[Black Male Employees]]/M$318,"")</f>
        <v>1.7037955445346558E-3</v>
      </c>
      <c r="M13" s="16">
        <v>213</v>
      </c>
      <c r="N13" s="17">
        <v>96752.708920188001</v>
      </c>
      <c r="O13" s="18">
        <f>IFERROR(PayGapsForMalesInRacialEthnicGroupsByOccupationalSeries[[#This Row],[Black Male Avg Salary]]/PayGapsForMalesInRacialEthnicGroupsByOccupationalSeries[[#This Row],[White Male Average Salary]],"")</f>
        <v>0.99968779479098935</v>
      </c>
      <c r="P13" s="15" t="str">
        <f>IFERROR(PayGapsForMalesInRacialEthnicGroupsByOccupationalSeries[[#This Row],[Hispanic Latino Male Employees]]/Q$318,"")</f>
        <v/>
      </c>
      <c r="Q13" s="16" t="s">
        <v>0</v>
      </c>
      <c r="R13" s="17" t="s">
        <v>0</v>
      </c>
      <c r="S1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3" s="15" t="str">
        <f>IFERROR(PayGapsForMalesInRacialEthnicGroupsByOccupationalSeries[[#This Row],[Other Male Employees]]/U$318,"")</f>
        <v/>
      </c>
      <c r="U13" s="16" t="s">
        <v>0</v>
      </c>
      <c r="V13" s="17" t="s">
        <v>0</v>
      </c>
      <c r="W1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4" spans="1:23" ht="15.6" x14ac:dyDescent="0.3">
      <c r="A14" s="4" t="s">
        <v>25</v>
      </c>
      <c r="B14" s="25">
        <v>7332</v>
      </c>
      <c r="C14" s="26">
        <v>104672.862953863</v>
      </c>
      <c r="D14" s="15">
        <f>IFERROR(PayGapsForMalesInRacialEthnicGroupsByOccupationalSeries[[#This Row],[AIAN Male Employees]]/E$318,"")</f>
        <v>8.3503054989816708E-3</v>
      </c>
      <c r="E14" s="16">
        <v>82</v>
      </c>
      <c r="F14" s="17">
        <v>99477.170731706996</v>
      </c>
      <c r="G14" s="18">
        <f>PayGapsForMalesInRacialEthnicGroupsByOccupationalSeries[[#This Row],[AIAN Male Avg Salary]]/PayGapsForMalesInRacialEthnicGroupsByOccupationalSeries[[#This Row],[White Male Average Salary]]</f>
        <v>0.95036256699650867</v>
      </c>
      <c r="H14" s="15">
        <f>IFERROR(PayGapsForMalesInRacialEthnicGroupsByOccupationalSeries[[#This Row],[ANHPI Male Employees]]/I$318,"")</f>
        <v>4.9358042635658916E-3</v>
      </c>
      <c r="I14" s="16">
        <v>326</v>
      </c>
      <c r="J14" s="17">
        <v>99215.914110429003</v>
      </c>
      <c r="K14" s="18">
        <f>PayGapsForMalesInRacialEthnicGroupsByOccupationalSeries[[#This Row],[ANHPI Male Avg Salary]]/PayGapsForMalesInRacialEthnicGroupsByOccupationalSeries[[#This Row],[White Male Average Salary]]</f>
        <v>0.94786663238742908</v>
      </c>
      <c r="L14" s="15">
        <f>IFERROR(PayGapsForMalesInRacialEthnicGroupsByOccupationalSeries[[#This Row],[Black Male Employees]]/M$318,"")</f>
        <v>1.67819861616606E-2</v>
      </c>
      <c r="M14" s="16">
        <v>2098</v>
      </c>
      <c r="N14" s="17">
        <v>105688.511439466</v>
      </c>
      <c r="O14" s="18">
        <f>IFERROR(PayGapsForMalesInRacialEthnicGroupsByOccupationalSeries[[#This Row],[Black Male Avg Salary]]/PayGapsForMalesInRacialEthnicGroupsByOccupationalSeries[[#This Row],[White Male Average Salary]],"")</f>
        <v>1.009703073527765</v>
      </c>
      <c r="P14" s="15">
        <f>IFERROR(PayGapsForMalesInRacialEthnicGroupsByOccupationalSeries[[#This Row],[Hispanic Latino Male Employees]]/Q$318,"")</f>
        <v>8.5787178679243362E-3</v>
      </c>
      <c r="Q14" s="16">
        <v>844</v>
      </c>
      <c r="R14" s="17">
        <v>100067.18009478701</v>
      </c>
      <c r="S14" s="18">
        <f>IFERROR(PayGapsForMalesInRacialEthnicGroupsByOccupationalSeries[[#This Row],[Hispanic Latino Male Avg Salary]]/PayGapsForMalesInRacialEthnicGroupsByOccupationalSeries[[#This Row],[White Male Average Salary]],"")</f>
        <v>0.95599926543419322</v>
      </c>
      <c r="T14" s="15">
        <f>IFERROR(PayGapsForMalesInRacialEthnicGroupsByOccupationalSeries[[#This Row],[Other Male Employees]]/U$318,"")</f>
        <v>1.5533078749096913E-2</v>
      </c>
      <c r="U14" s="16">
        <v>301</v>
      </c>
      <c r="V14" s="17">
        <v>101684.083056478</v>
      </c>
      <c r="W14" s="18">
        <f>IFERROR(PayGapsForMalesInRacialEthnicGroupsByOccupationalSeries[[#This Row],[Other Male Avg Salary]]/PayGapsForMalesInRacialEthnicGroupsByOccupationalSeries[[#This Row],[White Male Average Salary]],"")</f>
        <v>0.9714464684251316</v>
      </c>
    </row>
    <row r="15" spans="1:23" ht="15.6" x14ac:dyDescent="0.3">
      <c r="A15" s="4" t="s">
        <v>26</v>
      </c>
      <c r="B15" s="25">
        <v>6800</v>
      </c>
      <c r="C15" s="26">
        <v>61763.701942890999</v>
      </c>
      <c r="D15" s="15" t="str">
        <f>IFERROR(PayGapsForMalesInRacialEthnicGroupsByOccupationalSeries[[#This Row],[AIAN Male Employees]]/E$318,"")</f>
        <v/>
      </c>
      <c r="E15" s="16" t="s">
        <v>0</v>
      </c>
      <c r="F15" s="17" t="s">
        <v>0</v>
      </c>
      <c r="G15" s="18" t="s">
        <v>0</v>
      </c>
      <c r="H15" s="15">
        <f>IFERROR(PayGapsForMalesInRacialEthnicGroupsByOccupationalSeries[[#This Row],[ANHPI Male Employees]]/I$318,"")</f>
        <v>5.4354408914728683E-3</v>
      </c>
      <c r="I15" s="16">
        <v>359</v>
      </c>
      <c r="J15" s="17">
        <v>56152.286908078</v>
      </c>
      <c r="K15" s="18">
        <f>PayGapsForMalesInRacialEthnicGroupsByOccupationalSeries[[#This Row],[ANHPI Male Avg Salary]]/PayGapsForMalesInRacialEthnicGroupsByOccupationalSeries[[#This Row],[White Male Average Salary]]</f>
        <v>0.90914704173656036</v>
      </c>
      <c r="L15" s="15">
        <f>IFERROR(PayGapsForMalesInRacialEthnicGroupsByOccupationalSeries[[#This Row],[Black Male Employees]]/M$318,"")</f>
        <v>3.5195776506819184E-3</v>
      </c>
      <c r="M15" s="16">
        <v>440</v>
      </c>
      <c r="N15" s="17">
        <v>62313.095671982002</v>
      </c>
      <c r="O15" s="18">
        <f>IFERROR(PayGapsForMalesInRacialEthnicGroupsByOccupationalSeries[[#This Row],[Black Male Avg Salary]]/PayGapsForMalesInRacialEthnicGroupsByOccupationalSeries[[#This Row],[White Male Average Salary]],"")</f>
        <v>1.0088950906731431</v>
      </c>
      <c r="P15" s="15">
        <f>IFERROR(PayGapsForMalesInRacialEthnicGroupsByOccupationalSeries[[#This Row],[Hispanic Latino Male Employees]]/Q$318,"")</f>
        <v>8.710854517548763E-3</v>
      </c>
      <c r="Q15" s="16">
        <v>857</v>
      </c>
      <c r="R15" s="17">
        <v>60529.827102804004</v>
      </c>
      <c r="S15" s="18">
        <f>IFERROR(PayGapsForMalesInRacialEthnicGroupsByOccupationalSeries[[#This Row],[Hispanic Latino Male Avg Salary]]/PayGapsForMalesInRacialEthnicGroupsByOccupationalSeries[[#This Row],[White Male Average Salary]],"")</f>
        <v>0.9800226540626098</v>
      </c>
      <c r="T15" s="15">
        <f>IFERROR(PayGapsForMalesInRacialEthnicGroupsByOccupationalSeries[[#This Row],[Other Male Employees]]/U$318,"")</f>
        <v>1.1404685726081124E-2</v>
      </c>
      <c r="U15" s="16">
        <v>221</v>
      </c>
      <c r="V15" s="17">
        <v>56724.167420814003</v>
      </c>
      <c r="W15" s="18">
        <f>IFERROR(PayGapsForMalesInRacialEthnicGroupsByOccupationalSeries[[#This Row],[Other Male Avg Salary]]/PayGapsForMalesInRacialEthnicGroupsByOccupationalSeries[[#This Row],[White Male Average Salary]],"")</f>
        <v>0.91840621006272039</v>
      </c>
    </row>
    <row r="16" spans="1:23" ht="15.6" x14ac:dyDescent="0.3">
      <c r="A16" s="4" t="s">
        <v>27</v>
      </c>
      <c r="B16" s="25">
        <v>230</v>
      </c>
      <c r="C16" s="26">
        <v>57831.986725663999</v>
      </c>
      <c r="D16" s="15" t="str">
        <f>IFERROR(PayGapsForMalesInRacialEthnicGroupsByOccupationalSeries[[#This Row],[AIAN Male Employees]]/E$318,"")</f>
        <v/>
      </c>
      <c r="E16" s="16" t="s">
        <v>0</v>
      </c>
      <c r="F16" s="17" t="s">
        <v>0</v>
      </c>
      <c r="G16" s="18" t="s">
        <v>0</v>
      </c>
      <c r="H16" s="15" t="str">
        <f>IFERROR(PayGapsForMalesInRacialEthnicGroupsByOccupationalSeries[[#This Row],[ANHPI Male Employees]]/I$318,"")</f>
        <v/>
      </c>
      <c r="I16" s="16" t="s">
        <v>0</v>
      </c>
      <c r="J16" s="17" t="s">
        <v>0</v>
      </c>
      <c r="K16" s="18" t="s">
        <v>0</v>
      </c>
      <c r="L16" s="15" t="str">
        <f>IFERROR(PayGapsForMalesInRacialEthnicGroupsByOccupationalSeries[[#This Row],[Black Male Employees]]/M$318,"")</f>
        <v/>
      </c>
      <c r="M16" s="16" t="s">
        <v>0</v>
      </c>
      <c r="N16" s="17" t="s">
        <v>0</v>
      </c>
      <c r="O16" s="18" t="str">
        <f>IFERROR(PayGapsForMalesInRacialEthnicGroupsByOccupationalSeries[[#This Row],[Black Male Avg Salary]]/PayGapsForMalesInRacialEthnicGroupsByOccupationalSeries[[#This Row],[White Male Average Salary]],"")</f>
        <v/>
      </c>
      <c r="P16" s="15" t="str">
        <f>IFERROR(PayGapsForMalesInRacialEthnicGroupsByOccupationalSeries[[#This Row],[Hispanic Latino Male Employees]]/Q$318,"")</f>
        <v/>
      </c>
      <c r="Q16" s="16" t="s">
        <v>0</v>
      </c>
      <c r="R16" s="17" t="s">
        <v>0</v>
      </c>
      <c r="S1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6" s="15" t="str">
        <f>IFERROR(PayGapsForMalesInRacialEthnicGroupsByOccupationalSeries[[#This Row],[Other Male Employees]]/U$318,"")</f>
        <v/>
      </c>
      <c r="U16" s="16" t="s">
        <v>0</v>
      </c>
      <c r="V16" s="17" t="s">
        <v>0</v>
      </c>
      <c r="W1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7" spans="1:23" ht="15.6" x14ac:dyDescent="0.3">
      <c r="A17" s="4" t="s">
        <v>28</v>
      </c>
      <c r="B17" s="25">
        <v>6865</v>
      </c>
      <c r="C17" s="26">
        <v>70456.498760390998</v>
      </c>
      <c r="D17" s="15">
        <f>IFERROR(PayGapsForMalesInRacialEthnicGroupsByOccupationalSeries[[#This Row],[AIAN Male Employees]]/E$318,"")</f>
        <v>2.0875763747454174E-2</v>
      </c>
      <c r="E17" s="16">
        <v>205</v>
      </c>
      <c r="F17" s="17">
        <v>61351.497560976</v>
      </c>
      <c r="G17" s="18">
        <f>PayGapsForMalesInRacialEthnicGroupsByOccupationalSeries[[#This Row],[AIAN Male Avg Salary]]/PayGapsForMalesInRacialEthnicGroupsByOccupationalSeries[[#This Row],[White Male Average Salary]]</f>
        <v>0.87077130769186595</v>
      </c>
      <c r="H17" s="15">
        <f>IFERROR(PayGapsForMalesInRacialEthnicGroupsByOccupationalSeries[[#This Row],[ANHPI Male Employees]]/I$318,"")</f>
        <v>8.1455910852713184E-3</v>
      </c>
      <c r="I17" s="16">
        <v>538</v>
      </c>
      <c r="J17" s="17">
        <v>65990.847583643001</v>
      </c>
      <c r="K17" s="18">
        <f>PayGapsForMalesInRacialEthnicGroupsByOccupationalSeries[[#This Row],[ANHPI Male Avg Salary]]/PayGapsForMalesInRacialEthnicGroupsByOccupationalSeries[[#This Row],[White Male Average Salary]]</f>
        <v>0.9366183211582112</v>
      </c>
      <c r="L17" s="15">
        <f>IFERROR(PayGapsForMalesInRacialEthnicGroupsByOccupationalSeries[[#This Row],[Black Male Employees]]/M$318,"")</f>
        <v>1.6526016877974642E-2</v>
      </c>
      <c r="M17" s="16">
        <v>2066</v>
      </c>
      <c r="N17" s="17">
        <v>72191.211622275994</v>
      </c>
      <c r="O17" s="18">
        <f>IFERROR(PayGapsForMalesInRacialEthnicGroupsByOccupationalSeries[[#This Row],[Black Male Avg Salary]]/PayGapsForMalesInRacialEthnicGroupsByOccupationalSeries[[#This Row],[White Male Average Salary]],"")</f>
        <v>1.0246210483405431</v>
      </c>
      <c r="P17" s="15">
        <f>IFERROR(PayGapsForMalesInRacialEthnicGroupsByOccupationalSeries[[#This Row],[Hispanic Latino Male Employees]]/Q$318,"")</f>
        <v>1.3955663071872173E-2</v>
      </c>
      <c r="Q17" s="16">
        <v>1373</v>
      </c>
      <c r="R17" s="17">
        <v>67539.781500363999</v>
      </c>
      <c r="S17" s="18">
        <f>IFERROR(PayGapsForMalesInRacialEthnicGroupsByOccupationalSeries[[#This Row],[Hispanic Latino Male Avg Salary]]/PayGapsForMalesInRacialEthnicGroupsByOccupationalSeries[[#This Row],[White Male Average Salary]],"")</f>
        <v>0.95860258015451216</v>
      </c>
      <c r="T17" s="15">
        <f>IFERROR(PayGapsForMalesInRacialEthnicGroupsByOccupationalSeries[[#This Row],[Other Male Employees]]/U$318,"")</f>
        <v>1.3726906801527505E-2</v>
      </c>
      <c r="U17" s="16">
        <v>266</v>
      </c>
      <c r="V17" s="17">
        <v>66893.281954887003</v>
      </c>
      <c r="W17" s="18">
        <f>IFERROR(PayGapsForMalesInRacialEthnicGroupsByOccupationalSeries[[#This Row],[Other Male Avg Salary]]/PayGapsForMalesInRacialEthnicGroupsByOccupationalSeries[[#This Row],[White Male Average Salary]],"")</f>
        <v>0.94942671196844719</v>
      </c>
    </row>
    <row r="18" spans="1:23" ht="15.6" x14ac:dyDescent="0.3">
      <c r="A18" s="4" t="s">
        <v>29</v>
      </c>
      <c r="B18" s="25">
        <v>2018</v>
      </c>
      <c r="C18" s="26">
        <v>48646.940535182999</v>
      </c>
      <c r="D18" s="15">
        <f>IFERROR(PayGapsForMalesInRacialEthnicGroupsByOccupationalSeries[[#This Row],[AIAN Male Employees]]/E$318,"")</f>
        <v>2.5152749490835031E-2</v>
      </c>
      <c r="E18" s="16">
        <v>247</v>
      </c>
      <c r="F18" s="17">
        <v>40678.769230769001</v>
      </c>
      <c r="G18" s="18">
        <f>PayGapsForMalesInRacialEthnicGroupsByOccupationalSeries[[#This Row],[AIAN Male Avg Salary]]/PayGapsForMalesInRacialEthnicGroupsByOccupationalSeries[[#This Row],[White Male Average Salary]]</f>
        <v>0.83620406100048228</v>
      </c>
      <c r="H18" s="15">
        <f>IFERROR(PayGapsForMalesInRacialEthnicGroupsByOccupationalSeries[[#This Row],[ANHPI Male Employees]]/I$318,"")</f>
        <v>3.3006298449612401E-3</v>
      </c>
      <c r="I18" s="16">
        <v>218</v>
      </c>
      <c r="J18" s="17">
        <v>47786.270642201998</v>
      </c>
      <c r="K18" s="18">
        <f>PayGapsForMalesInRacialEthnicGroupsByOccupationalSeries[[#This Row],[ANHPI Male Avg Salary]]/PayGapsForMalesInRacialEthnicGroupsByOccupationalSeries[[#This Row],[White Male Average Salary]]</f>
        <v>0.98230783100617525</v>
      </c>
      <c r="L18" s="15">
        <f>IFERROR(PayGapsForMalesInRacialEthnicGroupsByOccupationalSeries[[#This Row],[Black Male Employees]]/M$318,"")</f>
        <v>8.1030276366835987E-3</v>
      </c>
      <c r="M18" s="16">
        <v>1013</v>
      </c>
      <c r="N18" s="17">
        <v>51631.791707798999</v>
      </c>
      <c r="O18" s="18">
        <f>IFERROR(PayGapsForMalesInRacialEthnicGroupsByOccupationalSeries[[#This Row],[Black Male Avg Salary]]/PayGapsForMalesInRacialEthnicGroupsByOccupationalSeries[[#This Row],[White Male Average Salary]],"")</f>
        <v>1.0613574284380178</v>
      </c>
      <c r="P18" s="15">
        <f>IFERROR(PayGapsForMalesInRacialEthnicGroupsByOccupationalSeries[[#This Row],[Hispanic Latino Male Employees]]/Q$318,"")</f>
        <v>3.8726202697620523E-3</v>
      </c>
      <c r="Q18" s="16">
        <v>381</v>
      </c>
      <c r="R18" s="17">
        <v>50196.299212598002</v>
      </c>
      <c r="S18" s="18">
        <f>IFERROR(PayGapsForMalesInRacialEthnicGroupsByOccupationalSeries[[#This Row],[Hispanic Latino Male Avg Salary]]/PayGapsForMalesInRacialEthnicGroupsByOccupationalSeries[[#This Row],[White Male Average Salary]],"")</f>
        <v>1.0318490466280086</v>
      </c>
      <c r="T18" s="15">
        <f>IFERROR(PayGapsForMalesInRacialEthnicGroupsByOccupationalSeries[[#This Row],[Other Male Employees]]/U$318,"")</f>
        <v>5.3153060171328313E-3</v>
      </c>
      <c r="U18" s="16">
        <v>103</v>
      </c>
      <c r="V18" s="17">
        <v>48027.563106795998</v>
      </c>
      <c r="W18" s="18">
        <f>IFERROR(PayGapsForMalesInRacialEthnicGroupsByOccupationalSeries[[#This Row],[Other Male Avg Salary]]/PayGapsForMalesInRacialEthnicGroupsByOccupationalSeries[[#This Row],[White Male Average Salary]],"")</f>
        <v>0.98726790582155832</v>
      </c>
    </row>
    <row r="19" spans="1:23" ht="15.6" x14ac:dyDescent="0.3">
      <c r="A19" s="4" t="s">
        <v>30</v>
      </c>
      <c r="B19" s="25">
        <v>1244</v>
      </c>
      <c r="C19" s="26">
        <v>50688.718649517999</v>
      </c>
      <c r="D19" s="15" t="str">
        <f>IFERROR(PayGapsForMalesInRacialEthnicGroupsByOccupationalSeries[[#This Row],[AIAN Male Employees]]/E$318,"")</f>
        <v/>
      </c>
      <c r="E19" s="16" t="s">
        <v>0</v>
      </c>
      <c r="F19" s="17" t="s">
        <v>0</v>
      </c>
      <c r="G19" s="18" t="s">
        <v>0</v>
      </c>
      <c r="H19" s="15">
        <f>IFERROR(PayGapsForMalesInRacialEthnicGroupsByOccupationalSeries[[#This Row],[ANHPI Male Employees]]/I$318,"")</f>
        <v>1.5594718992248062E-3</v>
      </c>
      <c r="I19" s="16">
        <v>103</v>
      </c>
      <c r="J19" s="17">
        <v>54870.912621358999</v>
      </c>
      <c r="K19" s="18">
        <f>PayGapsForMalesInRacialEthnicGroupsByOccupationalSeries[[#This Row],[ANHPI Male Avg Salary]]/PayGapsForMalesInRacialEthnicGroupsByOccupationalSeries[[#This Row],[White Male Average Salary]]</f>
        <v>1.0825073918470569</v>
      </c>
      <c r="L19" s="15">
        <f>IFERROR(PayGapsForMalesInRacialEthnicGroupsByOccupationalSeries[[#This Row],[Black Male Employees]]/M$318,"")</f>
        <v>3.935527736671599E-3</v>
      </c>
      <c r="M19" s="16">
        <v>492</v>
      </c>
      <c r="N19" s="17">
        <v>50607.416666666999</v>
      </c>
      <c r="O19" s="18">
        <f>IFERROR(PayGapsForMalesInRacialEthnicGroupsByOccupationalSeries[[#This Row],[Black Male Avg Salary]]/PayGapsForMalesInRacialEthnicGroupsByOccupationalSeries[[#This Row],[White Male Average Salary]],"")</f>
        <v>0.99839605369760565</v>
      </c>
      <c r="P19" s="15">
        <f>IFERROR(PayGapsForMalesInRacialEthnicGroupsByOccupationalSeries[[#This Row],[Hispanic Latino Male Employees]]/Q$318,"")</f>
        <v>2.978156795381316E-3</v>
      </c>
      <c r="Q19" s="16">
        <v>293</v>
      </c>
      <c r="R19" s="17">
        <v>51363.395904436999</v>
      </c>
      <c r="S19" s="18">
        <f>IFERROR(PayGapsForMalesInRacialEthnicGroupsByOccupationalSeries[[#This Row],[Hispanic Latino Male Avg Salary]]/PayGapsForMalesInRacialEthnicGroupsByOccupationalSeries[[#This Row],[White Male Average Salary]],"")</f>
        <v>1.0133102053651029</v>
      </c>
      <c r="T19" s="15">
        <f>IFERROR(PayGapsForMalesInRacialEthnicGroupsByOccupationalSeries[[#This Row],[Other Male Employees]]/U$318,"")</f>
        <v>2.8898751161110536E-3</v>
      </c>
      <c r="U19" s="16">
        <v>56</v>
      </c>
      <c r="V19" s="17">
        <v>48573.767857143001</v>
      </c>
      <c r="W19" s="18">
        <f>IFERROR(PayGapsForMalesInRacialEthnicGroupsByOccupationalSeries[[#This Row],[Other Male Avg Salary]]/PayGapsForMalesInRacialEthnicGroupsByOccupationalSeries[[#This Row],[White Male Average Salary]],"")</f>
        <v>0.95827571008455326</v>
      </c>
    </row>
    <row r="20" spans="1:23" ht="31.2" x14ac:dyDescent="0.3">
      <c r="A20" s="4" t="s">
        <v>31</v>
      </c>
      <c r="B20" s="25">
        <v>1753</v>
      </c>
      <c r="C20" s="26">
        <v>115930.748858447</v>
      </c>
      <c r="D20" s="15" t="str">
        <f>IFERROR(PayGapsForMalesInRacialEthnicGroupsByOccupationalSeries[[#This Row],[AIAN Male Employees]]/E$318,"")</f>
        <v/>
      </c>
      <c r="E20" s="16" t="s">
        <v>0</v>
      </c>
      <c r="F20" s="17" t="s">
        <v>0</v>
      </c>
      <c r="G20" s="18" t="s">
        <v>0</v>
      </c>
      <c r="H20" s="15">
        <f>IFERROR(PayGapsForMalesInRacialEthnicGroupsByOccupationalSeries[[#This Row],[ANHPI Male Employees]]/I$318,"")</f>
        <v>1.0144137596899225E-3</v>
      </c>
      <c r="I20" s="16">
        <v>67</v>
      </c>
      <c r="J20" s="17">
        <v>114167.582089552</v>
      </c>
      <c r="K20" s="18">
        <f>PayGapsForMalesInRacialEthnicGroupsByOccupationalSeries[[#This Row],[ANHPI Male Avg Salary]]/PayGapsForMalesInRacialEthnicGroupsByOccupationalSeries[[#This Row],[White Male Average Salary]]</f>
        <v>0.98479120693813638</v>
      </c>
      <c r="L20" s="15">
        <f>IFERROR(PayGapsForMalesInRacialEthnicGroupsByOccupationalSeries[[#This Row],[Black Male Employees]]/M$318,"")</f>
        <v>2.4637043554773426E-3</v>
      </c>
      <c r="M20" s="16">
        <v>308</v>
      </c>
      <c r="N20" s="17">
        <v>116929.983766234</v>
      </c>
      <c r="O20" s="18">
        <f>IFERROR(PayGapsForMalesInRacialEthnicGroupsByOccupationalSeries[[#This Row],[Black Male Avg Salary]]/PayGapsForMalesInRacialEthnicGroupsByOccupationalSeries[[#This Row],[White Male Average Salary]],"")</f>
        <v>1.0086192396549347</v>
      </c>
      <c r="P20" s="15">
        <f>IFERROR(PayGapsForMalesInRacialEthnicGroupsByOccupationalSeries[[#This Row],[Hispanic Latino Male Employees]]/Q$318,"")</f>
        <v>1.4535031458686968E-3</v>
      </c>
      <c r="Q20" s="16">
        <v>143</v>
      </c>
      <c r="R20" s="17">
        <v>113332.433566434</v>
      </c>
      <c r="S20" s="18">
        <f>IFERROR(PayGapsForMalesInRacialEthnicGroupsByOccupationalSeries[[#This Row],[Hispanic Latino Male Avg Salary]]/PayGapsForMalesInRacialEthnicGroupsByOccupationalSeries[[#This Row],[White Male Average Salary]],"")</f>
        <v>0.97758735005511288</v>
      </c>
      <c r="T20" s="15" t="str">
        <f>IFERROR(PayGapsForMalesInRacialEthnicGroupsByOccupationalSeries[[#This Row],[Other Male Employees]]/U$318,"")</f>
        <v/>
      </c>
      <c r="U20" s="16" t="s">
        <v>0</v>
      </c>
      <c r="V20" s="17" t="s">
        <v>0</v>
      </c>
      <c r="W2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1" spans="1:23" ht="15.6" x14ac:dyDescent="0.3">
      <c r="A21" s="4" t="s">
        <v>32</v>
      </c>
      <c r="B21" s="25">
        <v>154</v>
      </c>
      <c r="C21" s="26">
        <v>42654.032467532001</v>
      </c>
      <c r="D21" s="15" t="str">
        <f>IFERROR(PayGapsForMalesInRacialEthnicGroupsByOccupationalSeries[[#This Row],[AIAN Male Employees]]/E$318,"")</f>
        <v/>
      </c>
      <c r="E21" s="16" t="s">
        <v>0</v>
      </c>
      <c r="F21" s="17" t="s">
        <v>0</v>
      </c>
      <c r="G21" s="18" t="s">
        <v>0</v>
      </c>
      <c r="H21" s="15" t="str">
        <f>IFERROR(PayGapsForMalesInRacialEthnicGroupsByOccupationalSeries[[#This Row],[ANHPI Male Employees]]/I$318,"")</f>
        <v/>
      </c>
      <c r="I21" s="16" t="s">
        <v>0</v>
      </c>
      <c r="J21" s="17" t="s">
        <v>0</v>
      </c>
      <c r="K21" s="18" t="s">
        <v>0</v>
      </c>
      <c r="L21" s="15" t="str">
        <f>IFERROR(PayGapsForMalesInRacialEthnicGroupsByOccupationalSeries[[#This Row],[Black Male Employees]]/M$318,"")</f>
        <v/>
      </c>
      <c r="M21" s="16" t="s">
        <v>0</v>
      </c>
      <c r="N21" s="17" t="s">
        <v>0</v>
      </c>
      <c r="O21" s="18" t="str">
        <f>IFERROR(PayGapsForMalesInRacialEthnicGroupsByOccupationalSeries[[#This Row],[Black Male Avg Salary]]/PayGapsForMalesInRacialEthnicGroupsByOccupationalSeries[[#This Row],[White Male Average Salary]],"")</f>
        <v/>
      </c>
      <c r="P21" s="15" t="str">
        <f>IFERROR(PayGapsForMalesInRacialEthnicGroupsByOccupationalSeries[[#This Row],[Hispanic Latino Male Employees]]/Q$318,"")</f>
        <v/>
      </c>
      <c r="Q21" s="16" t="s">
        <v>0</v>
      </c>
      <c r="R21" s="17" t="s">
        <v>0</v>
      </c>
      <c r="S2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1" s="15" t="str">
        <f>IFERROR(PayGapsForMalesInRacialEthnicGroupsByOccupationalSeries[[#This Row],[Other Male Employees]]/U$318,"")</f>
        <v/>
      </c>
      <c r="U21" s="16" t="s">
        <v>0</v>
      </c>
      <c r="V21" s="17" t="s">
        <v>0</v>
      </c>
      <c r="W2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2" spans="1:23" ht="15.6" x14ac:dyDescent="0.3">
      <c r="A22" s="4" t="s">
        <v>33</v>
      </c>
      <c r="B22" s="25">
        <v>2570</v>
      </c>
      <c r="C22" s="26">
        <v>92063.502921698004</v>
      </c>
      <c r="D22" s="15">
        <f>IFERROR(PayGapsForMalesInRacialEthnicGroupsByOccupationalSeries[[#This Row],[AIAN Male Employees]]/E$318,"")</f>
        <v>6.8228105906313645E-3</v>
      </c>
      <c r="E22" s="16">
        <v>67</v>
      </c>
      <c r="F22" s="17">
        <v>86539.955223880999</v>
      </c>
      <c r="G22" s="18">
        <f>PayGapsForMalesInRacialEthnicGroupsByOccupationalSeries[[#This Row],[AIAN Male Avg Salary]]/PayGapsForMalesInRacialEthnicGroupsByOccupationalSeries[[#This Row],[White Male Average Salary]]</f>
        <v>0.94000285104820636</v>
      </c>
      <c r="H22" s="15">
        <f>IFERROR(PayGapsForMalesInRacialEthnicGroupsByOccupationalSeries[[#This Row],[ANHPI Male Employees]]/I$318,"")</f>
        <v>1.953125E-3</v>
      </c>
      <c r="I22" s="16">
        <v>129</v>
      </c>
      <c r="J22" s="17">
        <v>100942.76744186001</v>
      </c>
      <c r="K22" s="18">
        <f>PayGapsForMalesInRacialEthnicGroupsByOccupationalSeries[[#This Row],[ANHPI Male Avg Salary]]/PayGapsForMalesInRacialEthnicGroupsByOccupationalSeries[[#This Row],[White Male Average Salary]]</f>
        <v>1.0964471722058415</v>
      </c>
      <c r="L22" s="15">
        <f>IFERROR(PayGapsForMalesInRacialEthnicGroupsByOccupationalSeries[[#This Row],[Black Male Employees]]/M$318,"")</f>
        <v>8.9269287685477747E-3</v>
      </c>
      <c r="M22" s="16">
        <v>1116</v>
      </c>
      <c r="N22" s="17">
        <v>89317.599103139</v>
      </c>
      <c r="O22" s="18">
        <f>IFERROR(PayGapsForMalesInRacialEthnicGroupsByOccupationalSeries[[#This Row],[Black Male Avg Salary]]/PayGapsForMalesInRacialEthnicGroupsByOccupationalSeries[[#This Row],[White Male Average Salary]],"")</f>
        <v>0.97017380686791321</v>
      </c>
      <c r="P22" s="15">
        <f>IFERROR(PayGapsForMalesInRacialEthnicGroupsByOccupationalSeries[[#This Row],[Hispanic Latino Male Employees]]/Q$318,"")</f>
        <v>3.9945925617230621E-3</v>
      </c>
      <c r="Q22" s="16">
        <v>393</v>
      </c>
      <c r="R22" s="17">
        <v>86369.839285713999</v>
      </c>
      <c r="S22" s="18">
        <f>IFERROR(PayGapsForMalesInRacialEthnicGroupsByOccupationalSeries[[#This Row],[Hispanic Latino Male Avg Salary]]/PayGapsForMalesInRacialEthnicGroupsByOccupationalSeries[[#This Row],[White Male Average Salary]],"")</f>
        <v>0.93815504021363827</v>
      </c>
      <c r="T22" s="15">
        <f>IFERROR(PayGapsForMalesInRacialEthnicGroupsByOccupationalSeries[[#This Row],[Other Male Employees]]/U$318,"")</f>
        <v>4.438022499741975E-3</v>
      </c>
      <c r="U22" s="16">
        <v>86</v>
      </c>
      <c r="V22" s="17">
        <v>85372.627906976995</v>
      </c>
      <c r="W22" s="18">
        <f>IFERROR(PayGapsForMalesInRacialEthnicGroupsByOccupationalSeries[[#This Row],[Other Male Avg Salary]]/PayGapsForMalesInRacialEthnicGroupsByOccupationalSeries[[#This Row],[White Male Average Salary]],"")</f>
        <v>0.92732326272212628</v>
      </c>
    </row>
    <row r="23" spans="1:23" ht="31.2" x14ac:dyDescent="0.3">
      <c r="A23" s="4" t="s">
        <v>34</v>
      </c>
      <c r="B23" s="25">
        <v>446</v>
      </c>
      <c r="C23" s="26">
        <v>59209.930180180003</v>
      </c>
      <c r="D23" s="15" t="str">
        <f>IFERROR(PayGapsForMalesInRacialEthnicGroupsByOccupationalSeries[[#This Row],[AIAN Male Employees]]/E$318,"")</f>
        <v/>
      </c>
      <c r="E23" s="16" t="s">
        <v>0</v>
      </c>
      <c r="F23" s="17" t="s">
        <v>0</v>
      </c>
      <c r="G23" s="18" t="s">
        <v>0</v>
      </c>
      <c r="H23" s="15" t="str">
        <f>IFERROR(PayGapsForMalesInRacialEthnicGroupsByOccupationalSeries[[#This Row],[ANHPI Male Employees]]/I$318,"")</f>
        <v/>
      </c>
      <c r="I23" s="16" t="s">
        <v>0</v>
      </c>
      <c r="J23" s="17" t="s">
        <v>0</v>
      </c>
      <c r="K23" s="18" t="s">
        <v>0</v>
      </c>
      <c r="L23" s="15">
        <f>IFERROR(PayGapsForMalesInRacialEthnicGroupsByOccupationalSeries[[#This Row],[Black Male Employees]]/M$318,"")</f>
        <v>3.4955805303363598E-3</v>
      </c>
      <c r="M23" s="16">
        <v>437</v>
      </c>
      <c r="N23" s="17">
        <v>61169.443678160998</v>
      </c>
      <c r="O23" s="18">
        <f>IFERROR(PayGapsForMalesInRacialEthnicGroupsByOccupationalSeries[[#This Row],[Black Male Avg Salary]]/PayGapsForMalesInRacialEthnicGroupsByOccupationalSeries[[#This Row],[White Male Average Salary]],"")</f>
        <v>1.0330943389397362</v>
      </c>
      <c r="P23" s="15" t="str">
        <f>IFERROR(PayGapsForMalesInRacialEthnicGroupsByOccupationalSeries[[#This Row],[Hispanic Latino Male Employees]]/Q$318,"")</f>
        <v/>
      </c>
      <c r="Q23" s="16" t="s">
        <v>0</v>
      </c>
      <c r="R23" s="17" t="s">
        <v>0</v>
      </c>
      <c r="S2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3" s="15" t="str">
        <f>IFERROR(PayGapsForMalesInRacialEthnicGroupsByOccupationalSeries[[#This Row],[Other Male Employees]]/U$318,"")</f>
        <v/>
      </c>
      <c r="U23" s="16" t="s">
        <v>0</v>
      </c>
      <c r="V23" s="17" t="s">
        <v>0</v>
      </c>
      <c r="W2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4" spans="1:23" ht="15.6" x14ac:dyDescent="0.3">
      <c r="A24" s="4" t="s">
        <v>35</v>
      </c>
      <c r="B24" s="25">
        <v>4375</v>
      </c>
      <c r="C24" s="26">
        <v>89653.086628571007</v>
      </c>
      <c r="D24" s="15">
        <f>IFERROR(PayGapsForMalesInRacialEthnicGroupsByOccupationalSeries[[#This Row],[AIAN Male Employees]]/E$318,"")</f>
        <v>9.0631364562118125E-3</v>
      </c>
      <c r="E24" s="16">
        <v>89</v>
      </c>
      <c r="F24" s="17">
        <v>93854.921348314994</v>
      </c>
      <c r="G24" s="18">
        <f>PayGapsForMalesInRacialEthnicGroupsByOccupationalSeries[[#This Row],[AIAN Male Avg Salary]]/PayGapsForMalesInRacialEthnicGroupsByOccupationalSeries[[#This Row],[White Male Average Salary]]</f>
        <v>1.0468677083830031</v>
      </c>
      <c r="H24" s="15">
        <f>IFERROR(PayGapsForMalesInRacialEthnicGroupsByOccupationalSeries[[#This Row],[ANHPI Male Employees]]/I$318,"")</f>
        <v>1.0613493217054263E-2</v>
      </c>
      <c r="I24" s="16">
        <v>701</v>
      </c>
      <c r="J24" s="17">
        <v>92813.838801712001</v>
      </c>
      <c r="K24" s="18">
        <f>PayGapsForMalesInRacialEthnicGroupsByOccupationalSeries[[#This Row],[ANHPI Male Avg Salary]]/PayGapsForMalesInRacialEthnicGroupsByOccupationalSeries[[#This Row],[White Male Average Salary]]</f>
        <v>1.0352553636690263</v>
      </c>
      <c r="L24" s="15">
        <f>IFERROR(PayGapsForMalesInRacialEthnicGroupsByOccupationalSeries[[#This Row],[Black Male Employees]]/M$318,"")</f>
        <v>1.341439027316722E-2</v>
      </c>
      <c r="M24" s="16">
        <v>1677</v>
      </c>
      <c r="N24" s="17">
        <v>89389.657722122996</v>
      </c>
      <c r="O24" s="18">
        <f>IFERROR(PayGapsForMalesInRacialEthnicGroupsByOccupationalSeries[[#This Row],[Black Male Avg Salary]]/PayGapsForMalesInRacialEthnicGroupsByOccupationalSeries[[#This Row],[White Male Average Salary]],"")</f>
        <v>0.99706168614651958</v>
      </c>
      <c r="P24" s="15">
        <f>IFERROR(PayGapsForMalesInRacialEthnicGroupsByOccupationalSeries[[#This Row],[Hispanic Latino Male Employees]]/Q$318,"")</f>
        <v>1.741154467743411E-2</v>
      </c>
      <c r="Q24" s="16">
        <v>1713</v>
      </c>
      <c r="R24" s="17">
        <v>90614.265615879005</v>
      </c>
      <c r="S24" s="18">
        <f>IFERROR(PayGapsForMalesInRacialEthnicGroupsByOccupationalSeries[[#This Row],[Hispanic Latino Male Avg Salary]]/PayGapsForMalesInRacialEthnicGroupsByOccupationalSeries[[#This Row],[White Male Average Salary]],"")</f>
        <v>1.0107210919718819</v>
      </c>
      <c r="T24" s="15">
        <f>IFERROR(PayGapsForMalesInRacialEthnicGroupsByOccupationalSeries[[#This Row],[Other Male Employees]]/U$318,"")</f>
        <v>6.2441944473113839E-3</v>
      </c>
      <c r="U24" s="16">
        <v>121</v>
      </c>
      <c r="V24" s="17">
        <v>82816.033057851004</v>
      </c>
      <c r="W24" s="18">
        <f>IFERROR(PayGapsForMalesInRacialEthnicGroupsByOccupationalSeries[[#This Row],[Other Male Avg Salary]]/PayGapsForMalesInRacialEthnicGroupsByOccupationalSeries[[#This Row],[White Male Average Salary]],"")</f>
        <v>0.92373878214538641</v>
      </c>
    </row>
    <row r="25" spans="1:23" ht="31.2" x14ac:dyDescent="0.3">
      <c r="A25" s="4" t="s">
        <v>36</v>
      </c>
      <c r="B25" s="25">
        <v>500</v>
      </c>
      <c r="C25" s="26">
        <v>133001.04</v>
      </c>
      <c r="D25" s="15" t="str">
        <f>IFERROR(PayGapsForMalesInRacialEthnicGroupsByOccupationalSeries[[#This Row],[AIAN Male Employees]]/E$318,"")</f>
        <v/>
      </c>
      <c r="E25" s="16" t="s">
        <v>0</v>
      </c>
      <c r="F25" s="17" t="s">
        <v>0</v>
      </c>
      <c r="G25" s="18" t="s">
        <v>0</v>
      </c>
      <c r="H25" s="15">
        <f>IFERROR(PayGapsForMalesInRacialEthnicGroupsByOccupationalSeries[[#This Row],[ANHPI Male Employees]]/I$318,"")</f>
        <v>8.932897286821705E-4</v>
      </c>
      <c r="I25" s="16">
        <v>59</v>
      </c>
      <c r="J25" s="17">
        <v>122869.118644068</v>
      </c>
      <c r="K25" s="18">
        <f>PayGapsForMalesInRacialEthnicGroupsByOccupationalSeries[[#This Row],[ANHPI Male Avg Salary]]/PayGapsForMalesInRacialEthnicGroupsByOccupationalSeries[[#This Row],[White Male Average Salary]]</f>
        <v>0.92382073586844127</v>
      </c>
      <c r="L25" s="15">
        <f>IFERROR(PayGapsForMalesInRacialEthnicGroupsByOccupationalSeries[[#This Row],[Black Male Employees]]/M$318,"")</f>
        <v>1.2558492980842299E-3</v>
      </c>
      <c r="M25" s="16">
        <v>157</v>
      </c>
      <c r="N25" s="17">
        <v>122070.98726114701</v>
      </c>
      <c r="O25" s="18">
        <f>IFERROR(PayGapsForMalesInRacialEthnicGroupsByOccupationalSeries[[#This Row],[Black Male Avg Salary]]/PayGapsForMalesInRacialEthnicGroupsByOccupationalSeries[[#This Row],[White Male Average Salary]],"")</f>
        <v>0.91781979495158084</v>
      </c>
      <c r="P25" s="15" t="str">
        <f>IFERROR(PayGapsForMalesInRacialEthnicGroupsByOccupationalSeries[[#This Row],[Hispanic Latino Male Employees]]/Q$318,"")</f>
        <v/>
      </c>
      <c r="Q25" s="16" t="s">
        <v>0</v>
      </c>
      <c r="R25" s="17" t="s">
        <v>0</v>
      </c>
      <c r="S2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5" s="15" t="str">
        <f>IFERROR(PayGapsForMalesInRacialEthnicGroupsByOccupationalSeries[[#This Row],[Other Male Employees]]/U$318,"")</f>
        <v/>
      </c>
      <c r="U25" s="16" t="s">
        <v>0</v>
      </c>
      <c r="V25" s="17" t="s">
        <v>0</v>
      </c>
      <c r="W2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6" spans="1:23" ht="15.6" x14ac:dyDescent="0.3">
      <c r="A26" s="4" t="s">
        <v>37</v>
      </c>
      <c r="B26" s="25">
        <v>2173</v>
      </c>
      <c r="C26" s="26">
        <v>136240.57899585401</v>
      </c>
      <c r="D26" s="15" t="str">
        <f>IFERROR(PayGapsForMalesInRacialEthnicGroupsByOccupationalSeries[[#This Row],[AIAN Male Employees]]/E$318,"")</f>
        <v/>
      </c>
      <c r="E26" s="16" t="s">
        <v>0</v>
      </c>
      <c r="F26" s="17" t="s">
        <v>0</v>
      </c>
      <c r="G26" s="18" t="s">
        <v>0</v>
      </c>
      <c r="H26" s="15">
        <f>IFERROR(PayGapsForMalesInRacialEthnicGroupsByOccupationalSeries[[#This Row],[ANHPI Male Employees]]/I$318,"")</f>
        <v>4.1939195736434105E-3</v>
      </c>
      <c r="I26" s="16">
        <v>277</v>
      </c>
      <c r="J26" s="17">
        <v>142707.48736462099</v>
      </c>
      <c r="K26" s="18">
        <f>PayGapsForMalesInRacialEthnicGroupsByOccupationalSeries[[#This Row],[ANHPI Male Avg Salary]]/PayGapsForMalesInRacialEthnicGroupsByOccupationalSeries[[#This Row],[White Male Average Salary]]</f>
        <v>1.0474668297538854</v>
      </c>
      <c r="L26" s="15">
        <f>IFERROR(PayGapsForMalesInRacialEthnicGroupsByOccupationalSeries[[#This Row],[Black Male Employees]]/M$318,"")</f>
        <v>1.3438387393512779E-3</v>
      </c>
      <c r="M26" s="16">
        <v>168</v>
      </c>
      <c r="N26" s="17">
        <v>124329.107142857</v>
      </c>
      <c r="O26" s="18">
        <f>IFERROR(PayGapsForMalesInRacialEthnicGroupsByOccupationalSeries[[#This Row],[Black Male Avg Salary]]/PayGapsForMalesInRacialEthnicGroupsByOccupationalSeries[[#This Row],[White Male Average Salary]],"")</f>
        <v>0.91257030804779904</v>
      </c>
      <c r="P26" s="15">
        <f>IFERROR(PayGapsForMalesInRacialEthnicGroupsByOccupationalSeries[[#This Row],[Hispanic Latino Male Employees]]/Q$318,"")</f>
        <v>1.6262972261467936E-3</v>
      </c>
      <c r="Q26" s="16">
        <v>160</v>
      </c>
      <c r="R26" s="17">
        <v>125565.3625</v>
      </c>
      <c r="S26" s="18">
        <f>IFERROR(PayGapsForMalesInRacialEthnicGroupsByOccupationalSeries[[#This Row],[Hispanic Latino Male Avg Salary]]/PayGapsForMalesInRacialEthnicGroupsByOccupationalSeries[[#This Row],[White Male Average Salary]],"")</f>
        <v>0.92164436928751692</v>
      </c>
      <c r="T26" s="15" t="str">
        <f>IFERROR(PayGapsForMalesInRacialEthnicGroupsByOccupationalSeries[[#This Row],[Other Male Employees]]/U$318,"")</f>
        <v/>
      </c>
      <c r="U26" s="16" t="s">
        <v>0</v>
      </c>
      <c r="V26" s="17" t="s">
        <v>0</v>
      </c>
      <c r="W2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7" spans="1:23" ht="15.6" x14ac:dyDescent="0.3">
      <c r="A27" s="4" t="s">
        <v>38</v>
      </c>
      <c r="B27" s="25">
        <v>1065</v>
      </c>
      <c r="C27" s="26">
        <v>138936.04793233101</v>
      </c>
      <c r="D27" s="15" t="str">
        <f>IFERROR(PayGapsForMalesInRacialEthnicGroupsByOccupationalSeries[[#This Row],[AIAN Male Employees]]/E$318,"")</f>
        <v/>
      </c>
      <c r="E27" s="16" t="s">
        <v>0</v>
      </c>
      <c r="F27" s="17" t="s">
        <v>0</v>
      </c>
      <c r="G27" s="18" t="s">
        <v>0</v>
      </c>
      <c r="H27" s="15">
        <f>IFERROR(PayGapsForMalesInRacialEthnicGroupsByOccupationalSeries[[#This Row],[ANHPI Male Employees]]/I$318,"")</f>
        <v>1.1052567829457364E-3</v>
      </c>
      <c r="I27" s="16">
        <v>73</v>
      </c>
      <c r="J27" s="17">
        <v>134225.39726027401</v>
      </c>
      <c r="K27" s="18">
        <f>PayGapsForMalesInRacialEthnicGroupsByOccupationalSeries[[#This Row],[ANHPI Male Avg Salary]]/PayGapsForMalesInRacialEthnicGroupsByOccupationalSeries[[#This Row],[White Male Average Salary]]</f>
        <v>0.96609482749681108</v>
      </c>
      <c r="L27" s="15">
        <f>IFERROR(PayGapsForMalesInRacialEthnicGroupsByOccupationalSeries[[#This Row],[Black Male Employees]]/M$318,"")</f>
        <v>5.0393952725672918E-4</v>
      </c>
      <c r="M27" s="16">
        <v>63</v>
      </c>
      <c r="N27" s="17">
        <v>123645.063492063</v>
      </c>
      <c r="O27" s="18">
        <f>IFERROR(PayGapsForMalesInRacialEthnicGroupsByOccupationalSeries[[#This Row],[Black Male Avg Salary]]/PayGapsForMalesInRacialEthnicGroupsByOccupationalSeries[[#This Row],[White Male Average Salary]],"")</f>
        <v>0.88994228159048028</v>
      </c>
      <c r="P27" s="15">
        <f>IFERROR(PayGapsForMalesInRacialEthnicGroupsByOccupationalSeries[[#This Row],[Hispanic Latino Male Employees]]/Q$318,"")</f>
        <v>1.0164357663417461E-3</v>
      </c>
      <c r="Q27" s="16">
        <v>100</v>
      </c>
      <c r="R27" s="17">
        <v>123927.56</v>
      </c>
      <c r="S27" s="18">
        <f>IFERROR(PayGapsForMalesInRacialEthnicGroupsByOccupationalSeries[[#This Row],[Hispanic Latino Male Avg Salary]]/PayGapsForMalesInRacialEthnicGroupsByOccupationalSeries[[#This Row],[White Male Average Salary]],"")</f>
        <v>0.89197556605582362</v>
      </c>
      <c r="T27" s="15" t="str">
        <f>IFERROR(PayGapsForMalesInRacialEthnicGroupsByOccupationalSeries[[#This Row],[Other Male Employees]]/U$318,"")</f>
        <v/>
      </c>
      <c r="U27" s="16" t="s">
        <v>0</v>
      </c>
      <c r="V27" s="17" t="s">
        <v>0</v>
      </c>
      <c r="W2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8" spans="1:23" ht="15.6" x14ac:dyDescent="0.3">
      <c r="A28" s="4" t="s">
        <v>39</v>
      </c>
      <c r="B28" s="25">
        <v>139</v>
      </c>
      <c r="C28" s="26">
        <v>129127.137681159</v>
      </c>
      <c r="D28" s="15" t="str">
        <f>IFERROR(PayGapsForMalesInRacialEthnicGroupsByOccupationalSeries[[#This Row],[AIAN Male Employees]]/E$318,"")</f>
        <v/>
      </c>
      <c r="E28" s="16" t="s">
        <v>0</v>
      </c>
      <c r="F28" s="17" t="s">
        <v>0</v>
      </c>
      <c r="G28" s="18" t="s">
        <v>0</v>
      </c>
      <c r="H28" s="15" t="str">
        <f>IFERROR(PayGapsForMalesInRacialEthnicGroupsByOccupationalSeries[[#This Row],[ANHPI Male Employees]]/I$318,"")</f>
        <v/>
      </c>
      <c r="I28" s="16" t="s">
        <v>0</v>
      </c>
      <c r="J28" s="17" t="s">
        <v>0</v>
      </c>
      <c r="K28" s="18" t="s">
        <v>0</v>
      </c>
      <c r="L28" s="15" t="str">
        <f>IFERROR(PayGapsForMalesInRacialEthnicGroupsByOccupationalSeries[[#This Row],[Black Male Employees]]/M$318,"")</f>
        <v/>
      </c>
      <c r="M28" s="16" t="s">
        <v>0</v>
      </c>
      <c r="N28" s="17" t="s">
        <v>0</v>
      </c>
      <c r="O28" s="18" t="str">
        <f>IFERROR(PayGapsForMalesInRacialEthnicGroupsByOccupationalSeries[[#This Row],[Black Male Avg Salary]]/PayGapsForMalesInRacialEthnicGroupsByOccupationalSeries[[#This Row],[White Male Average Salary]],"")</f>
        <v/>
      </c>
      <c r="P28" s="15" t="str">
        <f>IFERROR(PayGapsForMalesInRacialEthnicGroupsByOccupationalSeries[[#This Row],[Hispanic Latino Male Employees]]/Q$318,"")</f>
        <v/>
      </c>
      <c r="Q28" s="16" t="s">
        <v>0</v>
      </c>
      <c r="R28" s="17" t="s">
        <v>0</v>
      </c>
      <c r="S2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8" s="15" t="str">
        <f>IFERROR(PayGapsForMalesInRacialEthnicGroupsByOccupationalSeries[[#This Row],[Other Male Employees]]/U$318,"")</f>
        <v/>
      </c>
      <c r="U28" s="16" t="s">
        <v>0</v>
      </c>
      <c r="V28" s="17" t="s">
        <v>0</v>
      </c>
      <c r="W2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9" spans="1:23" ht="15.6" x14ac:dyDescent="0.3">
      <c r="A29" s="4" t="s">
        <v>40</v>
      </c>
      <c r="B29" s="25">
        <v>7711</v>
      </c>
      <c r="C29" s="26">
        <v>123177.40111601401</v>
      </c>
      <c r="D29" s="15" t="str">
        <f>IFERROR(PayGapsForMalesInRacialEthnicGroupsByOccupationalSeries[[#This Row],[AIAN Male Employees]]/E$318,"")</f>
        <v/>
      </c>
      <c r="E29" s="16" t="s">
        <v>0</v>
      </c>
      <c r="F29" s="17" t="s">
        <v>0</v>
      </c>
      <c r="G29" s="18" t="s">
        <v>0</v>
      </c>
      <c r="H29" s="15">
        <f>IFERROR(PayGapsForMalesInRacialEthnicGroupsByOccupationalSeries[[#This Row],[ANHPI Male Employees]]/I$318,"")</f>
        <v>4.5118701550387599E-3</v>
      </c>
      <c r="I29" s="16">
        <v>298</v>
      </c>
      <c r="J29" s="17">
        <v>119347.074074074</v>
      </c>
      <c r="K29" s="18">
        <f>PayGapsForMalesInRacialEthnicGroupsByOccupationalSeries[[#This Row],[ANHPI Male Avg Salary]]/PayGapsForMalesInRacialEthnicGroupsByOccupationalSeries[[#This Row],[White Male Average Salary]]</f>
        <v>0.96890397908028247</v>
      </c>
      <c r="L29" s="15">
        <f>IFERROR(PayGapsForMalesInRacialEthnicGroupsByOccupationalSeries[[#This Row],[Black Male Employees]]/M$318,"")</f>
        <v>4.6394432668079829E-3</v>
      </c>
      <c r="M29" s="16">
        <v>580</v>
      </c>
      <c r="N29" s="17">
        <v>122277.28103448301</v>
      </c>
      <c r="O29" s="18">
        <f>IFERROR(PayGapsForMalesInRacialEthnicGroupsByOccupationalSeries[[#This Row],[Black Male Avg Salary]]/PayGapsForMalesInRacialEthnicGroupsByOccupationalSeries[[#This Row],[White Male Average Salary]],"")</f>
        <v>0.99269249007223959</v>
      </c>
      <c r="P29" s="15">
        <f>IFERROR(PayGapsForMalesInRacialEthnicGroupsByOccupationalSeries[[#This Row],[Hispanic Latino Male Employees]]/Q$318,"")</f>
        <v>7.7757336125143569E-3</v>
      </c>
      <c r="Q29" s="16">
        <v>765</v>
      </c>
      <c r="R29" s="17">
        <v>120584.82222222201</v>
      </c>
      <c r="S29" s="18">
        <f>IFERROR(PayGapsForMalesInRacialEthnicGroupsByOccupationalSeries[[#This Row],[Hispanic Latino Male Avg Salary]]/PayGapsForMalesInRacialEthnicGroupsByOccupationalSeries[[#This Row],[White Male Average Salary]],"")</f>
        <v>0.97895247934846263</v>
      </c>
      <c r="T29" s="15">
        <f>IFERROR(PayGapsForMalesInRacialEthnicGroupsByOccupationalSeries[[#This Row],[Other Male Employees]]/U$318,"")</f>
        <v>1.1714315202807307E-2</v>
      </c>
      <c r="U29" s="16">
        <v>227</v>
      </c>
      <c r="V29" s="17">
        <v>120836.356828194</v>
      </c>
      <c r="W29" s="18">
        <f>IFERROR(PayGapsForMalesInRacialEthnicGroupsByOccupationalSeries[[#This Row],[Other Male Avg Salary]]/PayGapsForMalesInRacialEthnicGroupsByOccupationalSeries[[#This Row],[White Male Average Salary]],"")</f>
        <v>0.98099453092361388</v>
      </c>
    </row>
    <row r="30" spans="1:23" ht="15.6" x14ac:dyDescent="0.3">
      <c r="A30" s="4" t="s">
        <v>41</v>
      </c>
      <c r="B30" s="25">
        <v>542</v>
      </c>
      <c r="C30" s="26">
        <v>106645.598890943</v>
      </c>
      <c r="D30" s="15" t="str">
        <f>IFERROR(PayGapsForMalesInRacialEthnicGroupsByOccupationalSeries[[#This Row],[AIAN Male Employees]]/E$318,"")</f>
        <v/>
      </c>
      <c r="E30" s="16" t="s">
        <v>0</v>
      </c>
      <c r="F30" s="17" t="s">
        <v>0</v>
      </c>
      <c r="G30" s="18" t="s">
        <v>0</v>
      </c>
      <c r="H30" s="15" t="str">
        <f>IFERROR(PayGapsForMalesInRacialEthnicGroupsByOccupationalSeries[[#This Row],[ANHPI Male Employees]]/I$318,"")</f>
        <v/>
      </c>
      <c r="I30" s="16" t="s">
        <v>0</v>
      </c>
      <c r="J30" s="17" t="s">
        <v>0</v>
      </c>
      <c r="K30" s="18" t="s">
        <v>0</v>
      </c>
      <c r="L30" s="15" t="str">
        <f>IFERROR(PayGapsForMalesInRacialEthnicGroupsByOccupationalSeries[[#This Row],[Black Male Employees]]/M$318,"")</f>
        <v/>
      </c>
      <c r="M30" s="16" t="s">
        <v>0</v>
      </c>
      <c r="N30" s="17" t="s">
        <v>0</v>
      </c>
      <c r="O30" s="18" t="str">
        <f>IFERROR(PayGapsForMalesInRacialEthnicGroupsByOccupationalSeries[[#This Row],[Black Male Avg Salary]]/PayGapsForMalesInRacialEthnicGroupsByOccupationalSeries[[#This Row],[White Male Average Salary]],"")</f>
        <v/>
      </c>
      <c r="P30" s="15" t="str">
        <f>IFERROR(PayGapsForMalesInRacialEthnicGroupsByOccupationalSeries[[#This Row],[Hispanic Latino Male Employees]]/Q$318,"")</f>
        <v/>
      </c>
      <c r="Q30" s="16" t="s">
        <v>0</v>
      </c>
      <c r="R30" s="17" t="s">
        <v>0</v>
      </c>
      <c r="S3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0" s="15" t="str">
        <f>IFERROR(PayGapsForMalesInRacialEthnicGroupsByOccupationalSeries[[#This Row],[Other Male Employees]]/U$318,"")</f>
        <v/>
      </c>
      <c r="U30" s="16" t="s">
        <v>0</v>
      </c>
      <c r="V30" s="17" t="s">
        <v>0</v>
      </c>
      <c r="W3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1" spans="1:23" ht="15.6" x14ac:dyDescent="0.3">
      <c r="A31" s="4" t="s">
        <v>42</v>
      </c>
      <c r="B31" s="25">
        <v>440</v>
      </c>
      <c r="C31" s="26">
        <v>111618.461363636</v>
      </c>
      <c r="D31" s="15" t="str">
        <f>IFERROR(PayGapsForMalesInRacialEthnicGroupsByOccupationalSeries[[#This Row],[AIAN Male Employees]]/E$318,"")</f>
        <v/>
      </c>
      <c r="E31" s="16" t="s">
        <v>0</v>
      </c>
      <c r="F31" s="17" t="s">
        <v>0</v>
      </c>
      <c r="G31" s="18" t="s">
        <v>0</v>
      </c>
      <c r="H31" s="15" t="str">
        <f>IFERROR(PayGapsForMalesInRacialEthnicGroupsByOccupationalSeries[[#This Row],[ANHPI Male Employees]]/I$318,"")</f>
        <v/>
      </c>
      <c r="I31" s="16" t="s">
        <v>0</v>
      </c>
      <c r="J31" s="17" t="s">
        <v>0</v>
      </c>
      <c r="K31" s="18" t="s">
        <v>0</v>
      </c>
      <c r="L31" s="15" t="str">
        <f>IFERROR(PayGapsForMalesInRacialEthnicGroupsByOccupationalSeries[[#This Row],[Black Male Employees]]/M$318,"")</f>
        <v/>
      </c>
      <c r="M31" s="16" t="s">
        <v>0</v>
      </c>
      <c r="N31" s="17" t="s">
        <v>0</v>
      </c>
      <c r="O31" s="18" t="str">
        <f>IFERROR(PayGapsForMalesInRacialEthnicGroupsByOccupationalSeries[[#This Row],[Black Male Avg Salary]]/PayGapsForMalesInRacialEthnicGroupsByOccupationalSeries[[#This Row],[White Male Average Salary]],"")</f>
        <v/>
      </c>
      <c r="P31" s="15" t="str">
        <f>IFERROR(PayGapsForMalesInRacialEthnicGroupsByOccupationalSeries[[#This Row],[Hispanic Latino Male Employees]]/Q$318,"")</f>
        <v/>
      </c>
      <c r="Q31" s="16" t="s">
        <v>0</v>
      </c>
      <c r="R31" s="17" t="s">
        <v>0</v>
      </c>
      <c r="S3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1" s="15" t="str">
        <f>IFERROR(PayGapsForMalesInRacialEthnicGroupsByOccupationalSeries[[#This Row],[Other Male Employees]]/U$318,"")</f>
        <v/>
      </c>
      <c r="U31" s="16" t="s">
        <v>0</v>
      </c>
      <c r="V31" s="17" t="s">
        <v>0</v>
      </c>
      <c r="W3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2" spans="1:23" ht="15.6" x14ac:dyDescent="0.3">
      <c r="A32" s="4" t="s">
        <v>43</v>
      </c>
      <c r="B32" s="25">
        <v>2353</v>
      </c>
      <c r="C32" s="26">
        <v>126255.282247765</v>
      </c>
      <c r="D32" s="15" t="str">
        <f>IFERROR(PayGapsForMalesInRacialEthnicGroupsByOccupationalSeries[[#This Row],[AIAN Male Employees]]/E$318,"")</f>
        <v/>
      </c>
      <c r="E32" s="16" t="s">
        <v>0</v>
      </c>
      <c r="F32" s="17" t="s">
        <v>0</v>
      </c>
      <c r="G32" s="18" t="s">
        <v>0</v>
      </c>
      <c r="H32" s="15">
        <f>IFERROR(PayGapsForMalesInRacialEthnicGroupsByOccupationalSeries[[#This Row],[ANHPI Male Employees]]/I$318,"")</f>
        <v>1.6048934108527132E-3</v>
      </c>
      <c r="I32" s="16">
        <v>106</v>
      </c>
      <c r="J32" s="17">
        <v>123093.54716981101</v>
      </c>
      <c r="K32" s="18">
        <f>PayGapsForMalesInRacialEthnicGroupsByOccupationalSeries[[#This Row],[ANHPI Male Avg Salary]]/PayGapsForMalesInRacialEthnicGroupsByOccupationalSeries[[#This Row],[White Male Average Salary]]</f>
        <v>0.97495760160157596</v>
      </c>
      <c r="L32" s="15">
        <f>IFERROR(PayGapsForMalesInRacialEthnicGroupsByOccupationalSeries[[#This Row],[Black Male Employees]]/M$318,"")</f>
        <v>1.1198656161260649E-3</v>
      </c>
      <c r="M32" s="16">
        <v>140</v>
      </c>
      <c r="N32" s="17">
        <v>118834.460431655</v>
      </c>
      <c r="O32" s="18">
        <f>IFERROR(PayGapsForMalesInRacialEthnicGroupsByOccupationalSeries[[#This Row],[Black Male Avg Salary]]/PayGapsForMalesInRacialEthnicGroupsByOccupationalSeries[[#This Row],[White Male Average Salary]],"")</f>
        <v>0.94122367251496619</v>
      </c>
      <c r="P32" s="15">
        <f>IFERROR(PayGapsForMalesInRacialEthnicGroupsByOccupationalSeries[[#This Row],[Hispanic Latino Male Employees]]/Q$318,"")</f>
        <v>1.5856397954931239E-3</v>
      </c>
      <c r="Q32" s="16">
        <v>156</v>
      </c>
      <c r="R32" s="17">
        <v>118925.70512820499</v>
      </c>
      <c r="S32" s="18">
        <f>IFERROR(PayGapsForMalesInRacialEthnicGroupsByOccupationalSeries[[#This Row],[Hispanic Latino Male Avg Salary]]/PayGapsForMalesInRacialEthnicGroupsByOccupationalSeries[[#This Row],[White Male Average Salary]],"")</f>
        <v>0.94194637254719882</v>
      </c>
      <c r="T32" s="15">
        <f>IFERROR(PayGapsForMalesInRacialEthnicGroupsByOccupationalSeries[[#This Row],[Other Male Employees]]/U$318,"")</f>
        <v>2.0125915987201982E-3</v>
      </c>
      <c r="U32" s="16">
        <v>39</v>
      </c>
      <c r="V32" s="17">
        <v>121884.461538462</v>
      </c>
      <c r="W32" s="18">
        <f>IFERROR(PayGapsForMalesInRacialEthnicGroupsByOccupationalSeries[[#This Row],[Other Male Avg Salary]]/PayGapsForMalesInRacialEthnicGroupsByOccupationalSeries[[#This Row],[White Male Average Salary]],"")</f>
        <v>0.96538108638713704</v>
      </c>
    </row>
    <row r="33" spans="1:23" ht="15.6" x14ac:dyDescent="0.3">
      <c r="A33" s="4" t="s">
        <v>44</v>
      </c>
      <c r="B33" s="25">
        <v>146</v>
      </c>
      <c r="C33" s="26">
        <v>58764.390410959</v>
      </c>
      <c r="D33" s="15" t="str">
        <f>IFERROR(PayGapsForMalesInRacialEthnicGroupsByOccupationalSeries[[#This Row],[AIAN Male Employees]]/E$318,"")</f>
        <v/>
      </c>
      <c r="E33" s="16" t="s">
        <v>0</v>
      </c>
      <c r="F33" s="17" t="s">
        <v>0</v>
      </c>
      <c r="G33" s="18" t="s">
        <v>0</v>
      </c>
      <c r="H33" s="15" t="str">
        <f>IFERROR(PayGapsForMalesInRacialEthnicGroupsByOccupationalSeries[[#This Row],[ANHPI Male Employees]]/I$318,"")</f>
        <v/>
      </c>
      <c r="I33" s="16" t="s">
        <v>0</v>
      </c>
      <c r="J33" s="17" t="s">
        <v>0</v>
      </c>
      <c r="K33" s="18" t="s">
        <v>0</v>
      </c>
      <c r="L33" s="15">
        <f>IFERROR(PayGapsForMalesInRacialEthnicGroupsByOccupationalSeries[[#This Row],[Black Male Employees]]/M$318,"")</f>
        <v>6.6392032956045274E-4</v>
      </c>
      <c r="M33" s="16">
        <v>83</v>
      </c>
      <c r="N33" s="17">
        <v>56342.518072289</v>
      </c>
      <c r="O33" s="18">
        <f>IFERROR(PayGapsForMalesInRacialEthnicGroupsByOccupationalSeries[[#This Row],[Black Male Avg Salary]]/PayGapsForMalesInRacialEthnicGroupsByOccupationalSeries[[#This Row],[White Male Average Salary]],"")</f>
        <v>0.95878673595126163</v>
      </c>
      <c r="P33" s="15" t="str">
        <f>IFERROR(PayGapsForMalesInRacialEthnicGroupsByOccupationalSeries[[#This Row],[Hispanic Latino Male Employees]]/Q$318,"")</f>
        <v/>
      </c>
      <c r="Q33" s="16" t="s">
        <v>0</v>
      </c>
      <c r="R33" s="17" t="s">
        <v>0</v>
      </c>
      <c r="S3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3" s="15" t="str">
        <f>IFERROR(PayGapsForMalesInRacialEthnicGroupsByOccupationalSeries[[#This Row],[Other Male Employees]]/U$318,"")</f>
        <v/>
      </c>
      <c r="U33" s="16" t="s">
        <v>0</v>
      </c>
      <c r="V33" s="17" t="s">
        <v>0</v>
      </c>
      <c r="W3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4" spans="1:23" ht="15.6" x14ac:dyDescent="0.3">
      <c r="A34" s="4" t="s">
        <v>45</v>
      </c>
      <c r="B34" s="25">
        <v>3022</v>
      </c>
      <c r="C34" s="26">
        <v>90422.666225166002</v>
      </c>
      <c r="D34" s="15">
        <f>IFERROR(PayGapsForMalesInRacialEthnicGroupsByOccupationalSeries[[#This Row],[AIAN Male Employees]]/E$318,"")</f>
        <v>5.295315682281059E-3</v>
      </c>
      <c r="E34" s="16">
        <v>52</v>
      </c>
      <c r="F34" s="17">
        <v>87993.769230769001</v>
      </c>
      <c r="G34" s="18">
        <f>PayGapsForMalesInRacialEthnicGroupsByOccupationalSeries[[#This Row],[AIAN Male Avg Salary]]/PayGapsForMalesInRacialEthnicGroupsByOccupationalSeries[[#This Row],[White Male Average Salary]]</f>
        <v>0.97313840549283648</v>
      </c>
      <c r="H34" s="15">
        <f>IFERROR(PayGapsForMalesInRacialEthnicGroupsByOccupationalSeries[[#This Row],[ANHPI Male Employees]]/I$318,"")</f>
        <v>2.4527616279069768E-3</v>
      </c>
      <c r="I34" s="16">
        <v>162</v>
      </c>
      <c r="J34" s="17">
        <v>91684.098765432005</v>
      </c>
      <c r="K34" s="18">
        <f>PayGapsForMalesInRacialEthnicGroupsByOccupationalSeries[[#This Row],[ANHPI Male Avg Salary]]/PayGapsForMalesInRacialEthnicGroupsByOccupationalSeries[[#This Row],[White Male Average Salary]]</f>
        <v>1.013950401961438</v>
      </c>
      <c r="L34" s="15">
        <f>IFERROR(PayGapsForMalesInRacialEthnicGroupsByOccupationalSeries[[#This Row],[Black Male Employees]]/M$318,"")</f>
        <v>5.1433827940647126E-3</v>
      </c>
      <c r="M34" s="16">
        <v>643</v>
      </c>
      <c r="N34" s="17">
        <v>88209.708268331</v>
      </c>
      <c r="O34" s="18">
        <f>IFERROR(PayGapsForMalesInRacialEthnicGroupsByOccupationalSeries[[#This Row],[Black Male Avg Salary]]/PayGapsForMalesInRacialEthnicGroupsByOccupationalSeries[[#This Row],[White Male Average Salary]],"")</f>
        <v>0.97552651288423187</v>
      </c>
      <c r="P34" s="15">
        <f>IFERROR(PayGapsForMalesInRacialEthnicGroupsByOccupationalSeries[[#This Row],[Hispanic Latino Male Employees]]/Q$318,"")</f>
        <v>3.1712795909862477E-3</v>
      </c>
      <c r="Q34" s="16">
        <v>312</v>
      </c>
      <c r="R34" s="17">
        <v>88718.929487179004</v>
      </c>
      <c r="S34" s="18">
        <f>IFERROR(PayGapsForMalesInRacialEthnicGroupsByOccupationalSeries[[#This Row],[Hispanic Latino Male Avg Salary]]/PayGapsForMalesInRacialEthnicGroupsByOccupationalSeries[[#This Row],[White Male Average Salary]],"")</f>
        <v>0.98115807895174822</v>
      </c>
      <c r="T34" s="15">
        <f>IFERROR(PayGapsForMalesInRacialEthnicGroupsByOccupationalSeries[[#This Row],[Other Male Employees]]/U$318,"")</f>
        <v>2.9414800288987512E-3</v>
      </c>
      <c r="U34" s="16">
        <v>57</v>
      </c>
      <c r="V34" s="17">
        <v>87555.912280702003</v>
      </c>
      <c r="W34" s="18">
        <f>IFERROR(PayGapsForMalesInRacialEthnicGroupsByOccupationalSeries[[#This Row],[Other Male Avg Salary]]/PayGapsForMalesInRacialEthnicGroupsByOccupationalSeries[[#This Row],[White Male Average Salary]],"")</f>
        <v>0.96829606929168233</v>
      </c>
    </row>
    <row r="35" spans="1:23" ht="31.2" x14ac:dyDescent="0.3">
      <c r="A35" s="4" t="s">
        <v>46</v>
      </c>
      <c r="B35" s="25">
        <v>242</v>
      </c>
      <c r="C35" s="26">
        <v>50569.483471074003</v>
      </c>
      <c r="D35" s="15" t="str">
        <f>IFERROR(PayGapsForMalesInRacialEthnicGroupsByOccupationalSeries[[#This Row],[AIAN Male Employees]]/E$318,"")</f>
        <v/>
      </c>
      <c r="E35" s="16" t="s">
        <v>0</v>
      </c>
      <c r="F35" s="17" t="s">
        <v>0</v>
      </c>
      <c r="G35" s="18" t="s">
        <v>0</v>
      </c>
      <c r="H35" s="15" t="str">
        <f>IFERROR(PayGapsForMalesInRacialEthnicGroupsByOccupationalSeries[[#This Row],[ANHPI Male Employees]]/I$318,"")</f>
        <v/>
      </c>
      <c r="I35" s="16" t="s">
        <v>0</v>
      </c>
      <c r="J35" s="17" t="s">
        <v>0</v>
      </c>
      <c r="K35" s="18" t="s">
        <v>0</v>
      </c>
      <c r="L35" s="15">
        <f>IFERROR(PayGapsForMalesInRacialEthnicGroupsByOccupationalSeries[[#This Row],[Black Male Employees]]/M$318,"")</f>
        <v>1.1358636963564373E-3</v>
      </c>
      <c r="M35" s="16">
        <v>142</v>
      </c>
      <c r="N35" s="17">
        <v>54109.669014084997</v>
      </c>
      <c r="O35" s="18">
        <f>IFERROR(PayGapsForMalesInRacialEthnicGroupsByOccupationalSeries[[#This Row],[Black Male Avg Salary]]/PayGapsForMalesInRacialEthnicGroupsByOccupationalSeries[[#This Row],[White Male Average Salary]],"")</f>
        <v>1.0700063615448236</v>
      </c>
      <c r="P35" s="15">
        <f>IFERROR(PayGapsForMalesInRacialEthnicGroupsByOccupationalSeries[[#This Row],[Hispanic Latino Male Employees]]/Q$318,"")</f>
        <v>3.7608123354644602E-4</v>
      </c>
      <c r="Q35" s="16">
        <v>37</v>
      </c>
      <c r="R35" s="17">
        <v>48280.837837838</v>
      </c>
      <c r="S35" s="18">
        <f>IFERROR(PayGapsForMalesInRacialEthnicGroupsByOccupationalSeries[[#This Row],[Hispanic Latino Male Avg Salary]]/PayGapsForMalesInRacialEthnicGroupsByOccupationalSeries[[#This Row],[White Male Average Salary]],"")</f>
        <v>0.9547425546763767</v>
      </c>
      <c r="T35" s="15" t="str">
        <f>IFERROR(PayGapsForMalesInRacialEthnicGroupsByOccupationalSeries[[#This Row],[Other Male Employees]]/U$318,"")</f>
        <v/>
      </c>
      <c r="U35" s="16" t="s">
        <v>0</v>
      </c>
      <c r="V35" s="17" t="s">
        <v>0</v>
      </c>
      <c r="W3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6" spans="1:23" ht="15.6" x14ac:dyDescent="0.3">
      <c r="A36" s="4" t="s">
        <v>47</v>
      </c>
      <c r="B36" s="25">
        <v>58</v>
      </c>
      <c r="C36" s="26">
        <v>54894.103448276001</v>
      </c>
      <c r="D36" s="15" t="str">
        <f>IFERROR(PayGapsForMalesInRacialEthnicGroupsByOccupationalSeries[[#This Row],[AIAN Male Employees]]/E$318,"")</f>
        <v/>
      </c>
      <c r="E36" s="16" t="s">
        <v>0</v>
      </c>
      <c r="F36" s="17" t="s">
        <v>0</v>
      </c>
      <c r="G36" s="18" t="s">
        <v>0</v>
      </c>
      <c r="H36" s="15" t="str">
        <f>IFERROR(PayGapsForMalesInRacialEthnicGroupsByOccupationalSeries[[#This Row],[ANHPI Male Employees]]/I$318,"")</f>
        <v/>
      </c>
      <c r="I36" s="16" t="s">
        <v>0</v>
      </c>
      <c r="J36" s="17" t="s">
        <v>0</v>
      </c>
      <c r="K36" s="18" t="s">
        <v>0</v>
      </c>
      <c r="L36" s="15" t="str">
        <f>IFERROR(PayGapsForMalesInRacialEthnicGroupsByOccupationalSeries[[#This Row],[Black Male Employees]]/M$318,"")</f>
        <v/>
      </c>
      <c r="M36" s="16" t="s">
        <v>0</v>
      </c>
      <c r="N36" s="17" t="s">
        <v>0</v>
      </c>
      <c r="O36" s="18" t="str">
        <f>IFERROR(PayGapsForMalesInRacialEthnicGroupsByOccupationalSeries[[#This Row],[Black Male Avg Salary]]/PayGapsForMalesInRacialEthnicGroupsByOccupationalSeries[[#This Row],[White Male Average Salary]],"")</f>
        <v/>
      </c>
      <c r="P36" s="15" t="str">
        <f>IFERROR(PayGapsForMalesInRacialEthnicGroupsByOccupationalSeries[[#This Row],[Hispanic Latino Male Employees]]/Q$318,"")</f>
        <v/>
      </c>
      <c r="Q36" s="16" t="s">
        <v>0</v>
      </c>
      <c r="R36" s="17" t="s">
        <v>0</v>
      </c>
      <c r="S3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6" s="15" t="str">
        <f>IFERROR(PayGapsForMalesInRacialEthnicGroupsByOccupationalSeries[[#This Row],[Other Male Employees]]/U$318,"")</f>
        <v/>
      </c>
      <c r="U36" s="16" t="s">
        <v>0</v>
      </c>
      <c r="V36" s="17" t="s">
        <v>0</v>
      </c>
      <c r="W3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7" spans="1:23" ht="15.6" x14ac:dyDescent="0.3">
      <c r="A37" s="4" t="s">
        <v>48</v>
      </c>
      <c r="B37" s="25">
        <v>406</v>
      </c>
      <c r="C37" s="26">
        <v>70661.541871920999</v>
      </c>
      <c r="D37" s="15" t="str">
        <f>IFERROR(PayGapsForMalesInRacialEthnicGroupsByOccupationalSeries[[#This Row],[AIAN Male Employees]]/E$318,"")</f>
        <v/>
      </c>
      <c r="E37" s="16" t="s">
        <v>0</v>
      </c>
      <c r="F37" s="17" t="s">
        <v>0</v>
      </c>
      <c r="G37" s="18" t="s">
        <v>0</v>
      </c>
      <c r="H37" s="15" t="str">
        <f>IFERROR(PayGapsForMalesInRacialEthnicGroupsByOccupationalSeries[[#This Row],[ANHPI Male Employees]]/I$318,"")</f>
        <v/>
      </c>
      <c r="I37" s="16" t="s">
        <v>0</v>
      </c>
      <c r="J37" s="17" t="s">
        <v>0</v>
      </c>
      <c r="K37" s="18" t="s">
        <v>0</v>
      </c>
      <c r="L37" s="15">
        <f>IFERROR(PayGapsForMalesInRacialEthnicGroupsByOccupationalSeries[[#This Row],[Black Male Employees]]/M$318,"")</f>
        <v>1.5198176218853738E-3</v>
      </c>
      <c r="M37" s="16">
        <v>190</v>
      </c>
      <c r="N37" s="17">
        <v>69107.731578947001</v>
      </c>
      <c r="O37" s="18">
        <f>IFERROR(PayGapsForMalesInRacialEthnicGroupsByOccupationalSeries[[#This Row],[Black Male Avg Salary]]/PayGapsForMalesInRacialEthnicGroupsByOccupationalSeries[[#This Row],[White Male Average Salary]],"")</f>
        <v>0.97801052380387643</v>
      </c>
      <c r="P37" s="15" t="str">
        <f>IFERROR(PayGapsForMalesInRacialEthnicGroupsByOccupationalSeries[[#This Row],[Hispanic Latino Male Employees]]/Q$318,"")</f>
        <v/>
      </c>
      <c r="Q37" s="16" t="s">
        <v>0</v>
      </c>
      <c r="R37" s="17" t="s">
        <v>0</v>
      </c>
      <c r="S3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7" s="15" t="str">
        <f>IFERROR(PayGapsForMalesInRacialEthnicGroupsByOccupationalSeries[[#This Row],[Other Male Employees]]/U$318,"")</f>
        <v/>
      </c>
      <c r="U37" s="16" t="s">
        <v>0</v>
      </c>
      <c r="V37" s="17" t="s">
        <v>0</v>
      </c>
      <c r="W3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8" spans="1:23" ht="15.6" x14ac:dyDescent="0.3">
      <c r="A38" s="4" t="s">
        <v>49</v>
      </c>
      <c r="B38" s="25">
        <v>128</v>
      </c>
      <c r="C38" s="26">
        <v>45895.7421875</v>
      </c>
      <c r="D38" s="15" t="str">
        <f>IFERROR(PayGapsForMalesInRacialEthnicGroupsByOccupationalSeries[[#This Row],[AIAN Male Employees]]/E$318,"")</f>
        <v/>
      </c>
      <c r="E38" s="16" t="s">
        <v>0</v>
      </c>
      <c r="F38" s="17" t="s">
        <v>0</v>
      </c>
      <c r="G38" s="18" t="s">
        <v>0</v>
      </c>
      <c r="H38" s="15" t="str">
        <f>IFERROR(PayGapsForMalesInRacialEthnicGroupsByOccupationalSeries[[#This Row],[ANHPI Male Employees]]/I$318,"")</f>
        <v/>
      </c>
      <c r="I38" s="16" t="s">
        <v>0</v>
      </c>
      <c r="J38" s="17" t="s">
        <v>0</v>
      </c>
      <c r="K38" s="18" t="s">
        <v>0</v>
      </c>
      <c r="L38" s="15">
        <f>IFERROR(PayGapsForMalesInRacialEthnicGroupsByOccupationalSeries[[#This Row],[Black Male Employees]]/M$318,"")</f>
        <v>5.6793184817821867E-4</v>
      </c>
      <c r="M38" s="16">
        <v>71</v>
      </c>
      <c r="N38" s="17">
        <v>46190.478873239001</v>
      </c>
      <c r="O38" s="18">
        <f>IFERROR(PayGapsForMalesInRacialEthnicGroupsByOccupationalSeries[[#This Row],[Black Male Avg Salary]]/PayGapsForMalesInRacialEthnicGroupsByOccupationalSeries[[#This Row],[White Male Average Salary]],"")</f>
        <v>1.0064218742674407</v>
      </c>
      <c r="P38" s="15" t="str">
        <f>IFERROR(PayGapsForMalesInRacialEthnicGroupsByOccupationalSeries[[#This Row],[Hispanic Latino Male Employees]]/Q$318,"")</f>
        <v/>
      </c>
      <c r="Q38" s="16" t="s">
        <v>0</v>
      </c>
      <c r="R38" s="17" t="s">
        <v>0</v>
      </c>
      <c r="S3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8" s="15" t="str">
        <f>IFERROR(PayGapsForMalesInRacialEthnicGroupsByOccupationalSeries[[#This Row],[Other Male Employees]]/U$318,"")</f>
        <v/>
      </c>
      <c r="U38" s="16" t="s">
        <v>0</v>
      </c>
      <c r="V38" s="17" t="s">
        <v>0</v>
      </c>
      <c r="W3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9" spans="1:23" ht="15.6" x14ac:dyDescent="0.3">
      <c r="A39" s="4" t="s">
        <v>50</v>
      </c>
      <c r="B39" s="25">
        <v>565</v>
      </c>
      <c r="C39" s="26">
        <v>88452.775221239004</v>
      </c>
      <c r="D39" s="15" t="str">
        <f>IFERROR(PayGapsForMalesInRacialEthnicGroupsByOccupationalSeries[[#This Row],[AIAN Male Employees]]/E$318,"")</f>
        <v/>
      </c>
      <c r="E39" s="16" t="s">
        <v>0</v>
      </c>
      <c r="F39" s="17" t="s">
        <v>0</v>
      </c>
      <c r="G39" s="18" t="s">
        <v>0</v>
      </c>
      <c r="H39" s="15" t="str">
        <f>IFERROR(PayGapsForMalesInRacialEthnicGroupsByOccupationalSeries[[#This Row],[ANHPI Male Employees]]/I$318,"")</f>
        <v/>
      </c>
      <c r="I39" s="16" t="s">
        <v>0</v>
      </c>
      <c r="J39" s="17" t="s">
        <v>0</v>
      </c>
      <c r="K39" s="18" t="s">
        <v>0</v>
      </c>
      <c r="L39" s="15" t="str">
        <f>IFERROR(PayGapsForMalesInRacialEthnicGroupsByOccupationalSeries[[#This Row],[Black Male Employees]]/M$318,"")</f>
        <v/>
      </c>
      <c r="M39" s="16" t="s">
        <v>0</v>
      </c>
      <c r="N39" s="17" t="s">
        <v>0</v>
      </c>
      <c r="O39" s="18" t="str">
        <f>IFERROR(PayGapsForMalesInRacialEthnicGroupsByOccupationalSeries[[#This Row],[Black Male Avg Salary]]/PayGapsForMalesInRacialEthnicGroupsByOccupationalSeries[[#This Row],[White Male Average Salary]],"")</f>
        <v/>
      </c>
      <c r="P39" s="15" t="str">
        <f>IFERROR(PayGapsForMalesInRacialEthnicGroupsByOccupationalSeries[[#This Row],[Hispanic Latino Male Employees]]/Q$318,"")</f>
        <v/>
      </c>
      <c r="Q39" s="16" t="s">
        <v>0</v>
      </c>
      <c r="R39" s="17" t="s">
        <v>0</v>
      </c>
      <c r="S3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9" s="15" t="str">
        <f>IFERROR(PayGapsForMalesInRacialEthnicGroupsByOccupationalSeries[[#This Row],[Other Male Employees]]/U$318,"")</f>
        <v/>
      </c>
      <c r="U39" s="16" t="s">
        <v>0</v>
      </c>
      <c r="V39" s="17" t="s">
        <v>0</v>
      </c>
      <c r="W3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40" spans="1:23" ht="15.6" x14ac:dyDescent="0.3">
      <c r="A40" s="4" t="s">
        <v>51</v>
      </c>
      <c r="B40" s="25">
        <v>6087</v>
      </c>
      <c r="C40" s="26">
        <v>98291.769610261006</v>
      </c>
      <c r="D40" s="15">
        <f>IFERROR(PayGapsForMalesInRacialEthnicGroupsByOccupationalSeries[[#This Row],[AIAN Male Employees]]/E$318,"")</f>
        <v>1.1201629327902239E-2</v>
      </c>
      <c r="E40" s="16">
        <v>110</v>
      </c>
      <c r="F40" s="17">
        <v>90195.681818181998</v>
      </c>
      <c r="G40" s="18">
        <f>PayGapsForMalesInRacialEthnicGroupsByOccupationalSeries[[#This Row],[AIAN Male Avg Salary]]/PayGapsForMalesInRacialEthnicGroupsByOccupationalSeries[[#This Row],[White Male Average Salary]]</f>
        <v>0.91763208838155019</v>
      </c>
      <c r="H40" s="15">
        <f>IFERROR(PayGapsForMalesInRacialEthnicGroupsByOccupationalSeries[[#This Row],[ANHPI Male Employees]]/I$318,"")</f>
        <v>6.0259205426356592E-3</v>
      </c>
      <c r="I40" s="16">
        <v>398</v>
      </c>
      <c r="J40" s="17">
        <v>97058.816582914995</v>
      </c>
      <c r="K40" s="18">
        <f>PayGapsForMalesInRacialEthnicGroupsByOccupationalSeries[[#This Row],[ANHPI Male Avg Salary]]/PayGapsForMalesInRacialEthnicGroupsByOccupationalSeries[[#This Row],[White Male Average Salary]]</f>
        <v>0.98745619259644202</v>
      </c>
      <c r="L40" s="15">
        <f>IFERROR(PayGapsForMalesInRacialEthnicGroupsByOccupationalSeries[[#This Row],[Black Male Employees]]/M$318,"")</f>
        <v>2.224533056033276E-2</v>
      </c>
      <c r="M40" s="16">
        <v>2781</v>
      </c>
      <c r="N40" s="17">
        <v>99650.150719423997</v>
      </c>
      <c r="O40" s="18">
        <f>IFERROR(PayGapsForMalesInRacialEthnicGroupsByOccupationalSeries[[#This Row],[Black Male Avg Salary]]/PayGapsForMalesInRacialEthnicGroupsByOccupationalSeries[[#This Row],[White Male Average Salary]],"")</f>
        <v>1.0138198865942605</v>
      </c>
      <c r="P40" s="15">
        <f>IFERROR(PayGapsForMalesInRacialEthnicGroupsByOccupationalSeries[[#This Row],[Hispanic Latino Male Employees]]/Q$318,"")</f>
        <v>1.0520110181637071E-2</v>
      </c>
      <c r="Q40" s="16">
        <v>1035</v>
      </c>
      <c r="R40" s="17">
        <v>92075.439613527007</v>
      </c>
      <c r="S40" s="18">
        <f>IFERROR(PayGapsForMalesInRacialEthnicGroupsByOccupationalSeries[[#This Row],[Hispanic Latino Male Avg Salary]]/PayGapsForMalesInRacialEthnicGroupsByOccupationalSeries[[#This Row],[White Male Average Salary]],"")</f>
        <v>0.93675635283215963</v>
      </c>
      <c r="T40" s="15">
        <f>IFERROR(PayGapsForMalesInRacialEthnicGroupsByOccupationalSeries[[#This Row],[Other Male Employees]]/U$318,"")</f>
        <v>1.5894313138610797E-2</v>
      </c>
      <c r="U40" s="16">
        <v>308</v>
      </c>
      <c r="V40" s="17">
        <v>96495.381107491994</v>
      </c>
      <c r="W40" s="18">
        <f>IFERROR(PayGapsForMalesInRacialEthnicGroupsByOccupationalSeries[[#This Row],[Other Male Avg Salary]]/PayGapsForMalesInRacialEthnicGroupsByOccupationalSeries[[#This Row],[White Male Average Salary]],"")</f>
        <v>0.98172391737485332</v>
      </c>
    </row>
    <row r="41" spans="1:23" ht="15.6" x14ac:dyDescent="0.3">
      <c r="A41" s="4" t="s">
        <v>52</v>
      </c>
      <c r="B41" s="25">
        <v>1477</v>
      </c>
      <c r="C41" s="26">
        <v>50637.270508474998</v>
      </c>
      <c r="D41" s="15">
        <f>IFERROR(PayGapsForMalesInRacialEthnicGroupsByOccupationalSeries[[#This Row],[AIAN Male Employees]]/E$318,"")</f>
        <v>3.971486761710794E-3</v>
      </c>
      <c r="E41" s="16">
        <v>39</v>
      </c>
      <c r="F41" s="17">
        <v>48784.815789474</v>
      </c>
      <c r="G41" s="18">
        <f>PayGapsForMalesInRacialEthnicGroupsByOccupationalSeries[[#This Row],[AIAN Male Avg Salary]]/PayGapsForMalesInRacialEthnicGroupsByOccupationalSeries[[#This Row],[White Male Average Salary]]</f>
        <v>0.96341716880867501</v>
      </c>
      <c r="H41" s="15">
        <f>IFERROR(PayGapsForMalesInRacialEthnicGroupsByOccupationalSeries[[#This Row],[ANHPI Male Employees]]/I$318,"")</f>
        <v>2.0288275193798451E-3</v>
      </c>
      <c r="I41" s="16">
        <v>134</v>
      </c>
      <c r="J41" s="17">
        <v>51315.313432836003</v>
      </c>
      <c r="K41" s="18">
        <f>PayGapsForMalesInRacialEthnicGroupsByOccupationalSeries[[#This Row],[ANHPI Male Avg Salary]]/PayGapsForMalesInRacialEthnicGroupsByOccupationalSeries[[#This Row],[White Male Average Salary]]</f>
        <v>1.0133901949602027</v>
      </c>
      <c r="L41" s="15">
        <f>IFERROR(PayGapsForMalesInRacialEthnicGroupsByOccupationalSeries[[#This Row],[Black Male Employees]]/M$318,"")</f>
        <v>6.3352397712274529E-3</v>
      </c>
      <c r="M41" s="16">
        <v>792</v>
      </c>
      <c r="N41" s="17">
        <v>51002.140151514999</v>
      </c>
      <c r="O41" s="18">
        <f>IFERROR(PayGapsForMalesInRacialEthnicGroupsByOccupationalSeries[[#This Row],[Black Male Avg Salary]]/PayGapsForMalesInRacialEthnicGroupsByOccupationalSeries[[#This Row],[White Male Average Salary]],"")</f>
        <v>1.0072055551054817</v>
      </c>
      <c r="P41" s="15">
        <f>IFERROR(PayGapsForMalesInRacialEthnicGroupsByOccupationalSeries[[#This Row],[Hispanic Latino Male Employees]]/Q$318,"")</f>
        <v>3.5778538975229459E-3</v>
      </c>
      <c r="Q41" s="16">
        <v>352</v>
      </c>
      <c r="R41" s="17">
        <v>49972.292613635997</v>
      </c>
      <c r="S41" s="18">
        <f>IFERROR(PayGapsForMalesInRacialEthnicGroupsByOccupationalSeries[[#This Row],[Hispanic Latino Male Avg Salary]]/PayGapsForMalesInRacialEthnicGroupsByOccupationalSeries[[#This Row],[White Male Average Salary]],"")</f>
        <v>0.98686781715993743</v>
      </c>
      <c r="T41" s="15">
        <f>IFERROR(PayGapsForMalesInRacialEthnicGroupsByOccupationalSeries[[#This Row],[Other Male Employees]]/U$318,"")</f>
        <v>3.1478996800495406E-3</v>
      </c>
      <c r="U41" s="16">
        <v>61</v>
      </c>
      <c r="V41" s="17">
        <v>49916.049180328002</v>
      </c>
      <c r="W41" s="18">
        <f>IFERROR(PayGapsForMalesInRacialEthnicGroupsByOccupationalSeries[[#This Row],[Other Male Avg Salary]]/PayGapsForMalesInRacialEthnicGroupsByOccupationalSeries[[#This Row],[White Male Average Salary]],"")</f>
        <v>0.98575710497614033</v>
      </c>
    </row>
    <row r="42" spans="1:23" ht="15.6" x14ac:dyDescent="0.3">
      <c r="A42" s="4" t="s">
        <v>53</v>
      </c>
      <c r="B42" s="25">
        <v>81</v>
      </c>
      <c r="C42" s="26">
        <v>142336.444444444</v>
      </c>
      <c r="D42" s="15" t="str">
        <f>IFERROR(PayGapsForMalesInRacialEthnicGroupsByOccupationalSeries[[#This Row],[AIAN Male Employees]]/E$318,"")</f>
        <v/>
      </c>
      <c r="E42" s="16" t="s">
        <v>0</v>
      </c>
      <c r="F42" s="17" t="s">
        <v>0</v>
      </c>
      <c r="G42" s="18" t="s">
        <v>0</v>
      </c>
      <c r="H42" s="15" t="str">
        <f>IFERROR(PayGapsForMalesInRacialEthnicGroupsByOccupationalSeries[[#This Row],[ANHPI Male Employees]]/I$318,"")</f>
        <v/>
      </c>
      <c r="I42" s="16" t="s">
        <v>0</v>
      </c>
      <c r="J42" s="17" t="s">
        <v>0</v>
      </c>
      <c r="K42" s="18" t="s">
        <v>0</v>
      </c>
      <c r="L42" s="15" t="str">
        <f>IFERROR(PayGapsForMalesInRacialEthnicGroupsByOccupationalSeries[[#This Row],[Black Male Employees]]/M$318,"")</f>
        <v/>
      </c>
      <c r="M42" s="16" t="s">
        <v>0</v>
      </c>
      <c r="N42" s="17" t="s">
        <v>0</v>
      </c>
      <c r="O42" s="18" t="str">
        <f>IFERROR(PayGapsForMalesInRacialEthnicGroupsByOccupationalSeries[[#This Row],[Black Male Avg Salary]]/PayGapsForMalesInRacialEthnicGroupsByOccupationalSeries[[#This Row],[White Male Average Salary]],"")</f>
        <v/>
      </c>
      <c r="P42" s="15" t="str">
        <f>IFERROR(PayGapsForMalesInRacialEthnicGroupsByOccupationalSeries[[#This Row],[Hispanic Latino Male Employees]]/Q$318,"")</f>
        <v/>
      </c>
      <c r="Q42" s="16" t="s">
        <v>0</v>
      </c>
      <c r="R42" s="17" t="s">
        <v>0</v>
      </c>
      <c r="S4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42" s="15" t="str">
        <f>IFERROR(PayGapsForMalesInRacialEthnicGroupsByOccupationalSeries[[#This Row],[Other Male Employees]]/U$318,"")</f>
        <v/>
      </c>
      <c r="U42" s="16" t="s">
        <v>0</v>
      </c>
      <c r="V42" s="17" t="s">
        <v>0</v>
      </c>
      <c r="W4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43" spans="1:23" ht="31.2" x14ac:dyDescent="0.3">
      <c r="A43" s="4" t="s">
        <v>54</v>
      </c>
      <c r="B43" s="25">
        <v>57</v>
      </c>
      <c r="C43" s="26">
        <v>128828.26315789499</v>
      </c>
      <c r="D43" s="15" t="str">
        <f>IFERROR(PayGapsForMalesInRacialEthnicGroupsByOccupationalSeries[[#This Row],[AIAN Male Employees]]/E$318,"")</f>
        <v/>
      </c>
      <c r="E43" s="16" t="s">
        <v>0</v>
      </c>
      <c r="F43" s="17" t="s">
        <v>0</v>
      </c>
      <c r="G43" s="18" t="s">
        <v>0</v>
      </c>
      <c r="H43" s="15" t="str">
        <f>IFERROR(PayGapsForMalesInRacialEthnicGroupsByOccupationalSeries[[#This Row],[ANHPI Male Employees]]/I$318,"")</f>
        <v/>
      </c>
      <c r="I43" s="16" t="s">
        <v>0</v>
      </c>
      <c r="J43" s="17" t="s">
        <v>0</v>
      </c>
      <c r="K43" s="18" t="s">
        <v>0</v>
      </c>
      <c r="L43" s="15" t="str">
        <f>IFERROR(PayGapsForMalesInRacialEthnicGroupsByOccupationalSeries[[#This Row],[Black Male Employees]]/M$318,"")</f>
        <v/>
      </c>
      <c r="M43" s="16" t="s">
        <v>0</v>
      </c>
      <c r="N43" s="17" t="s">
        <v>0</v>
      </c>
      <c r="O43" s="18" t="str">
        <f>IFERROR(PayGapsForMalesInRacialEthnicGroupsByOccupationalSeries[[#This Row],[Black Male Avg Salary]]/PayGapsForMalesInRacialEthnicGroupsByOccupationalSeries[[#This Row],[White Male Average Salary]],"")</f>
        <v/>
      </c>
      <c r="P43" s="15" t="str">
        <f>IFERROR(PayGapsForMalesInRacialEthnicGroupsByOccupationalSeries[[#This Row],[Hispanic Latino Male Employees]]/Q$318,"")</f>
        <v/>
      </c>
      <c r="Q43" s="16" t="s">
        <v>0</v>
      </c>
      <c r="R43" s="17" t="s">
        <v>0</v>
      </c>
      <c r="S4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43" s="15" t="str">
        <f>IFERROR(PayGapsForMalesInRacialEthnicGroupsByOccupationalSeries[[#This Row],[Other Male Employees]]/U$318,"")</f>
        <v/>
      </c>
      <c r="U43" s="16" t="s">
        <v>0</v>
      </c>
      <c r="V43" s="17" t="s">
        <v>0</v>
      </c>
      <c r="W4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44" spans="1:23" ht="15.6" x14ac:dyDescent="0.3">
      <c r="A44" s="4" t="s">
        <v>55</v>
      </c>
      <c r="B44" s="25">
        <v>302</v>
      </c>
      <c r="C44" s="26">
        <v>108381.19269103</v>
      </c>
      <c r="D44" s="15" t="str">
        <f>IFERROR(PayGapsForMalesInRacialEthnicGroupsByOccupationalSeries[[#This Row],[AIAN Male Employees]]/E$318,"")</f>
        <v/>
      </c>
      <c r="E44" s="16" t="s">
        <v>0</v>
      </c>
      <c r="F44" s="17" t="s">
        <v>0</v>
      </c>
      <c r="G44" s="18" t="s">
        <v>0</v>
      </c>
      <c r="H44" s="15" t="str">
        <f>IFERROR(PayGapsForMalesInRacialEthnicGroupsByOccupationalSeries[[#This Row],[ANHPI Male Employees]]/I$318,"")</f>
        <v/>
      </c>
      <c r="I44" s="16" t="s">
        <v>0</v>
      </c>
      <c r="J44" s="17" t="s">
        <v>0</v>
      </c>
      <c r="K44" s="18" t="s">
        <v>0</v>
      </c>
      <c r="L44" s="15">
        <f>IFERROR(PayGapsForMalesInRacialEthnicGroupsByOccupationalSeries[[#This Row],[Black Male Employees]]/M$318,"")</f>
        <v>3.7755469343678759E-3</v>
      </c>
      <c r="M44" s="16">
        <v>472</v>
      </c>
      <c r="N44" s="17">
        <v>113299.911016949</v>
      </c>
      <c r="O44" s="18">
        <f>IFERROR(PayGapsForMalesInRacialEthnicGroupsByOccupationalSeries[[#This Row],[Black Male Avg Salary]]/PayGapsForMalesInRacialEthnicGroupsByOccupationalSeries[[#This Row],[White Male Average Salary]],"")</f>
        <v>1.045383504312793</v>
      </c>
      <c r="P44" s="15">
        <f>IFERROR(PayGapsForMalesInRacialEthnicGroupsByOccupationalSeries[[#This Row],[Hispanic Latino Male Employees]]/Q$318,"")</f>
        <v>1.412845715215027E-3</v>
      </c>
      <c r="Q44" s="16">
        <v>139</v>
      </c>
      <c r="R44" s="17">
        <v>109964.10071942399</v>
      </c>
      <c r="S44" s="18">
        <f>IFERROR(PayGapsForMalesInRacialEthnicGroupsByOccupationalSeries[[#This Row],[Hispanic Latino Male Avg Salary]]/PayGapsForMalesInRacialEthnicGroupsByOccupationalSeries[[#This Row],[White Male Average Salary]],"")</f>
        <v>1.014605006543031</v>
      </c>
      <c r="T44" s="15">
        <f>IFERROR(PayGapsForMalesInRacialEthnicGroupsByOccupationalSeries[[#This Row],[Other Male Employees]]/U$318,"")</f>
        <v>1.6513572092063165E-3</v>
      </c>
      <c r="U44" s="16">
        <v>32</v>
      </c>
      <c r="V44" s="17">
        <v>115101.84375</v>
      </c>
      <c r="W44" s="18">
        <f>IFERROR(PayGapsForMalesInRacialEthnicGroupsByOccupationalSeries[[#This Row],[Other Male Avg Salary]]/PayGapsForMalesInRacialEthnicGroupsByOccupationalSeries[[#This Row],[White Male Average Salary]],"")</f>
        <v>1.0620093845814103</v>
      </c>
    </row>
    <row r="45" spans="1:23" ht="31.2" x14ac:dyDescent="0.3">
      <c r="A45" s="4" t="s">
        <v>56</v>
      </c>
      <c r="B45" s="25">
        <v>30149</v>
      </c>
      <c r="C45" s="26">
        <v>111301.747750739</v>
      </c>
      <c r="D45" s="15">
        <f>IFERROR(PayGapsForMalesInRacialEthnicGroupsByOccupationalSeries[[#This Row],[AIAN Male Employees]]/E$318,"")</f>
        <v>4.7148676171079429E-2</v>
      </c>
      <c r="E45" s="16">
        <v>463</v>
      </c>
      <c r="F45" s="17">
        <v>106176.991360691</v>
      </c>
      <c r="G45" s="18">
        <f>PayGapsForMalesInRacialEthnicGroupsByOccupationalSeries[[#This Row],[AIAN Male Avg Salary]]/PayGapsForMalesInRacialEthnicGroupsByOccupationalSeries[[#This Row],[White Male Average Salary]]</f>
        <v>0.95395619122239728</v>
      </c>
      <c r="H45" s="15">
        <f>IFERROR(PayGapsForMalesInRacialEthnicGroupsByOccupationalSeries[[#This Row],[ANHPI Male Employees]]/I$318,"")</f>
        <v>2.8358163759689921E-2</v>
      </c>
      <c r="I45" s="16">
        <v>1873</v>
      </c>
      <c r="J45" s="17">
        <v>110096.853632479</v>
      </c>
      <c r="K45" s="18">
        <f>PayGapsForMalesInRacialEthnicGroupsByOccupationalSeries[[#This Row],[ANHPI Male Avg Salary]]/PayGapsForMalesInRacialEthnicGroupsByOccupationalSeries[[#This Row],[White Male Average Salary]]</f>
        <v>0.98917452652263504</v>
      </c>
      <c r="L45" s="15">
        <f>IFERROR(PayGapsForMalesInRacialEthnicGroupsByOccupationalSeries[[#This Row],[Black Male Employees]]/M$318,"")</f>
        <v>5.5185377754669439E-2</v>
      </c>
      <c r="M45" s="16">
        <v>6899</v>
      </c>
      <c r="N45" s="17">
        <v>103167.788023778</v>
      </c>
      <c r="O45" s="18">
        <f>IFERROR(PayGapsForMalesInRacialEthnicGroupsByOccupationalSeries[[#This Row],[Black Male Avg Salary]]/PayGapsForMalesInRacialEthnicGroupsByOccupationalSeries[[#This Row],[White Male Average Salary]],"")</f>
        <v>0.92691974841961111</v>
      </c>
      <c r="P45" s="15">
        <f>IFERROR(PayGapsForMalesInRacialEthnicGroupsByOccupationalSeries[[#This Row],[Hispanic Latino Male Employees]]/Q$318,"")</f>
        <v>3.8177327383795978E-2</v>
      </c>
      <c r="Q45" s="16">
        <v>3756</v>
      </c>
      <c r="R45" s="17">
        <v>100219.854593875</v>
      </c>
      <c r="S45" s="18">
        <f>IFERROR(PayGapsForMalesInRacialEthnicGroupsByOccupationalSeries[[#This Row],[Hispanic Latino Male Avg Salary]]/PayGapsForMalesInRacialEthnicGroupsByOccupationalSeries[[#This Row],[White Male Average Salary]],"")</f>
        <v>0.90043379029696846</v>
      </c>
      <c r="T45" s="15">
        <f>IFERROR(PayGapsForMalesInRacialEthnicGroupsByOccupationalSeries[[#This Row],[Other Male Employees]]/U$318,"")</f>
        <v>5.2998245432965219E-2</v>
      </c>
      <c r="U45" s="16">
        <v>1027</v>
      </c>
      <c r="V45" s="17">
        <v>103648.39824732199</v>
      </c>
      <c r="W45" s="18">
        <f>IFERROR(PayGapsForMalesInRacialEthnicGroupsByOccupationalSeries[[#This Row],[Other Male Avg Salary]]/PayGapsForMalesInRacialEthnicGroupsByOccupationalSeries[[#This Row],[White Male Average Salary]],"")</f>
        <v>0.93123783176741548</v>
      </c>
    </row>
    <row r="46" spans="1:23" ht="31.2" x14ac:dyDescent="0.3">
      <c r="A46" s="4" t="s">
        <v>57</v>
      </c>
      <c r="B46" s="25">
        <v>5623</v>
      </c>
      <c r="C46" s="26">
        <v>52314.356723063</v>
      </c>
      <c r="D46" s="15">
        <f>IFERROR(PayGapsForMalesInRacialEthnicGroupsByOccupationalSeries[[#This Row],[AIAN Male Employees]]/E$318,"")</f>
        <v>1.4358452138492872E-2</v>
      </c>
      <c r="E46" s="16">
        <v>141</v>
      </c>
      <c r="F46" s="17">
        <v>50292.042857143002</v>
      </c>
      <c r="G46" s="18">
        <f>PayGapsForMalesInRacialEthnicGroupsByOccupationalSeries[[#This Row],[AIAN Male Avg Salary]]/PayGapsForMalesInRacialEthnicGroupsByOccupationalSeries[[#This Row],[White Male Average Salary]]</f>
        <v>0.96134304247253699</v>
      </c>
      <c r="H46" s="15">
        <f>IFERROR(PayGapsForMalesInRacialEthnicGroupsByOccupationalSeries[[#This Row],[ANHPI Male Employees]]/I$318,"")</f>
        <v>8.1455910852713184E-3</v>
      </c>
      <c r="I46" s="16">
        <v>538</v>
      </c>
      <c r="J46" s="17">
        <v>52348.703910614997</v>
      </c>
      <c r="K46" s="18">
        <f>PayGapsForMalesInRacialEthnicGroupsByOccupationalSeries[[#This Row],[ANHPI Male Avg Salary]]/PayGapsForMalesInRacialEthnicGroupsByOccupationalSeries[[#This Row],[White Male Average Salary]]</f>
        <v>1.0006565537589198</v>
      </c>
      <c r="L46" s="15">
        <f>IFERROR(PayGapsForMalesInRacialEthnicGroupsByOccupationalSeries[[#This Row],[Black Male Employees]]/M$318,"")</f>
        <v>1.9869615646122465E-2</v>
      </c>
      <c r="M46" s="16">
        <v>2484</v>
      </c>
      <c r="N46" s="17">
        <v>51651.939540507999</v>
      </c>
      <c r="O46" s="18">
        <f>IFERROR(PayGapsForMalesInRacialEthnicGroupsByOccupationalSeries[[#This Row],[Black Male Avg Salary]]/PayGapsForMalesInRacialEthnicGroupsByOccupationalSeries[[#This Row],[White Male Average Salary]],"")</f>
        <v>0.98733775536872903</v>
      </c>
      <c r="P46" s="15">
        <f>IFERROR(PayGapsForMalesInRacialEthnicGroupsByOccupationalSeries[[#This Row],[Hispanic Latino Male Employees]]/Q$318,"")</f>
        <v>1.2085421261803361E-2</v>
      </c>
      <c r="Q46" s="16">
        <v>1189</v>
      </c>
      <c r="R46" s="17">
        <v>51660.146114864998</v>
      </c>
      <c r="S46" s="18">
        <f>IFERROR(PayGapsForMalesInRacialEthnicGroupsByOccupationalSeries[[#This Row],[Hispanic Latino Male Avg Salary]]/PayGapsForMalesInRacialEthnicGroupsByOccupationalSeries[[#This Row],[White Male Average Salary]],"")</f>
        <v>0.98749462577431268</v>
      </c>
      <c r="T46" s="15">
        <f>IFERROR(PayGapsForMalesInRacialEthnicGroupsByOccupationalSeries[[#This Row],[Other Male Employees]]/U$318,"")</f>
        <v>1.1559500464444214E-2</v>
      </c>
      <c r="U46" s="16">
        <v>224</v>
      </c>
      <c r="V46" s="17">
        <v>50355.65470852</v>
      </c>
      <c r="W46" s="18">
        <f>IFERROR(PayGapsForMalesInRacialEthnicGroupsByOccupationalSeries[[#This Row],[Other Male Avg Salary]]/PayGapsForMalesInRacialEthnicGroupsByOccupationalSeries[[#This Row],[White Male Average Salary]],"")</f>
        <v>0.96255899647372523</v>
      </c>
    </row>
    <row r="47" spans="1:23" ht="15.6" x14ac:dyDescent="0.3">
      <c r="A47" s="4" t="s">
        <v>58</v>
      </c>
      <c r="B47" s="25">
        <v>46</v>
      </c>
      <c r="C47" s="26">
        <v>42584.760869564998</v>
      </c>
      <c r="D47" s="15" t="str">
        <f>IFERROR(PayGapsForMalesInRacialEthnicGroupsByOccupationalSeries[[#This Row],[AIAN Male Employees]]/E$318,"")</f>
        <v/>
      </c>
      <c r="E47" s="16" t="s">
        <v>0</v>
      </c>
      <c r="F47" s="17" t="s">
        <v>0</v>
      </c>
      <c r="G47" s="18" t="s">
        <v>0</v>
      </c>
      <c r="H47" s="15" t="str">
        <f>IFERROR(PayGapsForMalesInRacialEthnicGroupsByOccupationalSeries[[#This Row],[ANHPI Male Employees]]/I$318,"")</f>
        <v/>
      </c>
      <c r="I47" s="16" t="s">
        <v>0</v>
      </c>
      <c r="J47" s="17" t="s">
        <v>0</v>
      </c>
      <c r="K47" s="18" t="s">
        <v>0</v>
      </c>
      <c r="L47" s="15">
        <f>IFERROR(PayGapsForMalesInRacialEthnicGroupsByOccupationalSeries[[#This Row],[Black Male Employees]]/M$318,"")</f>
        <v>7.1991361036675603E-4</v>
      </c>
      <c r="M47" s="16">
        <v>90</v>
      </c>
      <c r="N47" s="17">
        <v>38785.777777777999</v>
      </c>
      <c r="O47" s="18">
        <f>IFERROR(PayGapsForMalesInRacialEthnicGroupsByOccupationalSeries[[#This Row],[Black Male Avg Salary]]/PayGapsForMalesInRacialEthnicGroupsByOccupationalSeries[[#This Row],[White Male Average Salary]],"")</f>
        <v>0.91079008043691745</v>
      </c>
      <c r="P47" s="15" t="str">
        <f>IFERROR(PayGapsForMalesInRacialEthnicGroupsByOccupationalSeries[[#This Row],[Hispanic Latino Male Employees]]/Q$318,"")</f>
        <v/>
      </c>
      <c r="Q47" s="16" t="s">
        <v>0</v>
      </c>
      <c r="R47" s="17" t="s">
        <v>0</v>
      </c>
      <c r="S4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47" s="15" t="str">
        <f>IFERROR(PayGapsForMalesInRacialEthnicGroupsByOccupationalSeries[[#This Row],[Other Male Employees]]/U$318,"")</f>
        <v/>
      </c>
      <c r="U47" s="16" t="s">
        <v>0</v>
      </c>
      <c r="V47" s="17" t="s">
        <v>0</v>
      </c>
      <c r="W4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48" spans="1:23" ht="15.6" x14ac:dyDescent="0.3">
      <c r="A48" s="4" t="s">
        <v>59</v>
      </c>
      <c r="B48" s="25">
        <v>502</v>
      </c>
      <c r="C48" s="26">
        <v>43442.764940239002</v>
      </c>
      <c r="D48" s="15" t="str">
        <f>IFERROR(PayGapsForMalesInRacialEthnicGroupsByOccupationalSeries[[#This Row],[AIAN Male Employees]]/E$318,"")</f>
        <v/>
      </c>
      <c r="E48" s="16" t="s">
        <v>0</v>
      </c>
      <c r="F48" s="17" t="s">
        <v>0</v>
      </c>
      <c r="G48" s="18" t="s">
        <v>0</v>
      </c>
      <c r="H48" s="15">
        <f>IFERROR(PayGapsForMalesInRacialEthnicGroupsByOccupationalSeries[[#This Row],[ANHPI Male Employees]]/I$318,"")</f>
        <v>1.0446947674418604E-3</v>
      </c>
      <c r="I48" s="16">
        <v>69</v>
      </c>
      <c r="J48" s="17">
        <v>47343.101449274996</v>
      </c>
      <c r="K48" s="18">
        <f>PayGapsForMalesInRacialEthnicGroupsByOccupationalSeries[[#This Row],[ANHPI Male Avg Salary]]/PayGapsForMalesInRacialEthnicGroupsByOccupationalSeries[[#This Row],[White Male Average Salary]]</f>
        <v>1.0897810375191681</v>
      </c>
      <c r="L48" s="15">
        <f>IFERROR(PayGapsForMalesInRacialEthnicGroupsByOccupationalSeries[[#This Row],[Black Male Employees]]/M$318,"")</f>
        <v>3.503579570451546E-3</v>
      </c>
      <c r="M48" s="16">
        <v>438</v>
      </c>
      <c r="N48" s="17">
        <v>46039.977168949998</v>
      </c>
      <c r="O48" s="18">
        <f>IFERROR(PayGapsForMalesInRacialEthnicGroupsByOccupationalSeries[[#This Row],[Black Male Avg Salary]]/PayGapsForMalesInRacialEthnicGroupsByOccupationalSeries[[#This Row],[White Male Average Salary]],"")</f>
        <v>1.059784689862254</v>
      </c>
      <c r="P48" s="15">
        <f>IFERROR(PayGapsForMalesInRacialEthnicGroupsByOccupationalSeries[[#This Row],[Hispanic Latino Male Employees]]/Q$318,"")</f>
        <v>1.3823526422247745E-3</v>
      </c>
      <c r="Q48" s="16">
        <v>136</v>
      </c>
      <c r="R48" s="17">
        <v>43084.242647059</v>
      </c>
      <c r="S48" s="18">
        <f>IFERROR(PayGapsForMalesInRacialEthnicGroupsByOccupationalSeries[[#This Row],[Hispanic Latino Male Avg Salary]]/PayGapsForMalesInRacialEthnicGroupsByOccupationalSeries[[#This Row],[White Male Average Salary]],"")</f>
        <v>0.99174724965887429</v>
      </c>
      <c r="T48" s="15" t="str">
        <f>IFERROR(PayGapsForMalesInRacialEthnicGroupsByOccupationalSeries[[#This Row],[Other Male Employees]]/U$318,"")</f>
        <v/>
      </c>
      <c r="U48" s="16" t="s">
        <v>0</v>
      </c>
      <c r="V48" s="17" t="s">
        <v>0</v>
      </c>
      <c r="W4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49" spans="1:23" ht="15.6" x14ac:dyDescent="0.3">
      <c r="A49" s="4" t="s">
        <v>60</v>
      </c>
      <c r="B49" s="25">
        <v>540</v>
      </c>
      <c r="C49" s="26">
        <v>106806.837037037</v>
      </c>
      <c r="D49" s="15" t="str">
        <f>IFERROR(PayGapsForMalesInRacialEthnicGroupsByOccupationalSeries[[#This Row],[AIAN Male Employees]]/E$318,"")</f>
        <v/>
      </c>
      <c r="E49" s="16" t="s">
        <v>0</v>
      </c>
      <c r="F49" s="17" t="s">
        <v>0</v>
      </c>
      <c r="G49" s="18" t="s">
        <v>0</v>
      </c>
      <c r="H49" s="15" t="str">
        <f>IFERROR(PayGapsForMalesInRacialEthnicGroupsByOccupationalSeries[[#This Row],[ANHPI Male Employees]]/I$318,"")</f>
        <v/>
      </c>
      <c r="I49" s="16" t="s">
        <v>0</v>
      </c>
      <c r="J49" s="17" t="s">
        <v>0</v>
      </c>
      <c r="K49" s="18" t="s">
        <v>0</v>
      </c>
      <c r="L49" s="15">
        <f>IFERROR(PayGapsForMalesInRacialEthnicGroupsByOccupationalSeries[[#This Row],[Black Male Employees]]/M$318,"")</f>
        <v>1.5838099428068632E-3</v>
      </c>
      <c r="M49" s="16">
        <v>198</v>
      </c>
      <c r="N49" s="17">
        <v>106484.994949495</v>
      </c>
      <c r="O49" s="18">
        <f>IFERROR(PayGapsForMalesInRacialEthnicGroupsByOccupationalSeries[[#This Row],[Black Male Avg Salary]]/PayGapsForMalesInRacialEthnicGroupsByOccupationalSeries[[#This Row],[White Male Average Salary]],"")</f>
        <v>0.99698669021131681</v>
      </c>
      <c r="P49" s="15">
        <f>IFERROR(PayGapsForMalesInRacialEthnicGroupsByOccupationalSeries[[#This Row],[Hispanic Latino Male Employees]]/Q$318,"")</f>
        <v>5.1838224083429051E-4</v>
      </c>
      <c r="Q49" s="16">
        <v>51</v>
      </c>
      <c r="R49" s="17">
        <v>90420.137254902002</v>
      </c>
      <c r="S49" s="18">
        <f>IFERROR(PayGapsForMalesInRacialEthnicGroupsByOccupationalSeries[[#This Row],[Hispanic Latino Male Avg Salary]]/PayGapsForMalesInRacialEthnicGroupsByOccupationalSeries[[#This Row],[White Male Average Salary]],"")</f>
        <v>0.84657630319627719</v>
      </c>
      <c r="T49" s="15" t="str">
        <f>IFERROR(PayGapsForMalesInRacialEthnicGroupsByOccupationalSeries[[#This Row],[Other Male Employees]]/U$318,"")</f>
        <v/>
      </c>
      <c r="U49" s="16" t="s">
        <v>0</v>
      </c>
      <c r="V49" s="17" t="s">
        <v>0</v>
      </c>
      <c r="W4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50" spans="1:23" ht="31.2" x14ac:dyDescent="0.3">
      <c r="A50" s="4" t="s">
        <v>61</v>
      </c>
      <c r="B50" s="25">
        <v>226</v>
      </c>
      <c r="C50" s="26">
        <v>100789.349557522</v>
      </c>
      <c r="D50" s="15" t="str">
        <f>IFERROR(PayGapsForMalesInRacialEthnicGroupsByOccupationalSeries[[#This Row],[AIAN Male Employees]]/E$318,"")</f>
        <v/>
      </c>
      <c r="E50" s="16" t="s">
        <v>0</v>
      </c>
      <c r="F50" s="17" t="s">
        <v>0</v>
      </c>
      <c r="G50" s="18" t="s">
        <v>0</v>
      </c>
      <c r="H50" s="15" t="str">
        <f>IFERROR(PayGapsForMalesInRacialEthnicGroupsByOccupationalSeries[[#This Row],[ANHPI Male Employees]]/I$318,"")</f>
        <v/>
      </c>
      <c r="I50" s="16" t="s">
        <v>0</v>
      </c>
      <c r="J50" s="17" t="s">
        <v>0</v>
      </c>
      <c r="K50" s="18" t="s">
        <v>0</v>
      </c>
      <c r="L50" s="15">
        <f>IFERROR(PayGapsForMalesInRacialEthnicGroupsByOccupationalSeries[[#This Row],[Black Male Employees]]/M$318,"")</f>
        <v>1.1038675358956925E-3</v>
      </c>
      <c r="M50" s="16">
        <v>138</v>
      </c>
      <c r="N50" s="17">
        <v>103302.810218978</v>
      </c>
      <c r="O50" s="18">
        <f>IFERROR(PayGapsForMalesInRacialEthnicGroupsByOccupationalSeries[[#This Row],[Black Male Avg Salary]]/PayGapsForMalesInRacialEthnicGroupsByOccupationalSeries[[#This Row],[White Male Average Salary]],"")</f>
        <v>1.0249377605123002</v>
      </c>
      <c r="P50" s="15" t="str">
        <f>IFERROR(PayGapsForMalesInRacialEthnicGroupsByOccupationalSeries[[#This Row],[Hispanic Latino Male Employees]]/Q$318,"")</f>
        <v/>
      </c>
      <c r="Q50" s="16" t="s">
        <v>0</v>
      </c>
      <c r="R50" s="17" t="s">
        <v>0</v>
      </c>
      <c r="S5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50" s="15" t="str">
        <f>IFERROR(PayGapsForMalesInRacialEthnicGroupsByOccupationalSeries[[#This Row],[Other Male Employees]]/U$318,"")</f>
        <v/>
      </c>
      <c r="U50" s="16" t="s">
        <v>0</v>
      </c>
      <c r="V50" s="17" t="s">
        <v>0</v>
      </c>
      <c r="W5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51" spans="1:23" ht="15.6" x14ac:dyDescent="0.3">
      <c r="A51" s="4" t="s">
        <v>62</v>
      </c>
      <c r="B51" s="25">
        <v>469</v>
      </c>
      <c r="C51" s="26">
        <v>53380.829424306998</v>
      </c>
      <c r="D51" s="15">
        <f>IFERROR(PayGapsForMalesInRacialEthnicGroupsByOccupationalSeries[[#This Row],[AIAN Male Employees]]/E$318,"")</f>
        <v>1.4256619144602852E-3</v>
      </c>
      <c r="E51" s="16">
        <v>14</v>
      </c>
      <c r="F51" s="17">
        <v>49793.285714286001</v>
      </c>
      <c r="G51" s="18">
        <f>PayGapsForMalesInRacialEthnicGroupsByOccupationalSeries[[#This Row],[AIAN Male Avg Salary]]/PayGapsForMalesInRacialEthnicGroupsByOccupationalSeries[[#This Row],[White Male Average Salary]]</f>
        <v>0.93279340638368935</v>
      </c>
      <c r="H51" s="15">
        <f>IFERROR(PayGapsForMalesInRacialEthnicGroupsByOccupationalSeries[[#This Row],[ANHPI Male Employees]]/I$318,"")</f>
        <v>6.0562015503875968E-4</v>
      </c>
      <c r="I51" s="16">
        <v>40</v>
      </c>
      <c r="J51" s="17">
        <v>57803.425000000003</v>
      </c>
      <c r="K51" s="18">
        <f>PayGapsForMalesInRacialEthnicGroupsByOccupationalSeries[[#This Row],[ANHPI Male Avg Salary]]/PayGapsForMalesInRacialEthnicGroupsByOccupationalSeries[[#This Row],[White Male Average Salary]]</f>
        <v>1.0828498849378907</v>
      </c>
      <c r="L51" s="15">
        <f>IFERROR(PayGapsForMalesInRacialEthnicGroupsByOccupationalSeries[[#This Row],[Black Male Employees]]/M$318,"")</f>
        <v>1.4718233811942566E-3</v>
      </c>
      <c r="M51" s="16">
        <v>184</v>
      </c>
      <c r="N51" s="17">
        <v>56333.748633880001</v>
      </c>
      <c r="O51" s="18">
        <f>IFERROR(PayGapsForMalesInRacialEthnicGroupsByOccupationalSeries[[#This Row],[Black Male Avg Salary]]/PayGapsForMalesInRacialEthnicGroupsByOccupationalSeries[[#This Row],[White Male Average Salary]],"")</f>
        <v>1.0553179716654681</v>
      </c>
      <c r="P51" s="15">
        <f>IFERROR(PayGapsForMalesInRacialEthnicGroupsByOccupationalSeries[[#This Row],[Hispanic Latino Male Employees]]/Q$318,"")</f>
        <v>9.8594269335149369E-4</v>
      </c>
      <c r="Q51" s="16">
        <v>97</v>
      </c>
      <c r="R51" s="17">
        <v>53637.46875</v>
      </c>
      <c r="S51" s="18">
        <f>IFERROR(PayGapsForMalesInRacialEthnicGroupsByOccupationalSeries[[#This Row],[Hispanic Latino Male Avg Salary]]/PayGapsForMalesInRacialEthnicGroupsByOccupationalSeries[[#This Row],[White Male Average Salary]],"")</f>
        <v>1.0048077058461018</v>
      </c>
      <c r="T51" s="15">
        <f>IFERROR(PayGapsForMalesInRacialEthnicGroupsByOccupationalSeries[[#This Row],[Other Male Employees]]/U$318,"")</f>
        <v>1.2385179069047372E-3</v>
      </c>
      <c r="U51" s="16">
        <v>24</v>
      </c>
      <c r="V51" s="17">
        <v>54524.333333333001</v>
      </c>
      <c r="W51" s="18">
        <f>IFERROR(PayGapsForMalesInRacialEthnicGroupsByOccupationalSeries[[#This Row],[Other Male Avg Salary]]/PayGapsForMalesInRacialEthnicGroupsByOccupationalSeries[[#This Row],[White Male Average Salary]],"")</f>
        <v>1.0214216212329086</v>
      </c>
    </row>
    <row r="52" spans="1:23" ht="31.2" x14ac:dyDescent="0.3">
      <c r="A52" s="4" t="s">
        <v>63</v>
      </c>
      <c r="B52" s="25">
        <v>171</v>
      </c>
      <c r="C52" s="26">
        <v>48568.323529412002</v>
      </c>
      <c r="D52" s="15" t="str">
        <f>IFERROR(PayGapsForMalesInRacialEthnicGroupsByOccupationalSeries[[#This Row],[AIAN Male Employees]]/E$318,"")</f>
        <v/>
      </c>
      <c r="E52" s="16" t="s">
        <v>0</v>
      </c>
      <c r="F52" s="17" t="s">
        <v>0</v>
      </c>
      <c r="G52" s="18" t="s">
        <v>0</v>
      </c>
      <c r="H52" s="15" t="str">
        <f>IFERROR(PayGapsForMalesInRacialEthnicGroupsByOccupationalSeries[[#This Row],[ANHPI Male Employees]]/I$318,"")</f>
        <v/>
      </c>
      <c r="I52" s="16" t="s">
        <v>0</v>
      </c>
      <c r="J52" s="17" t="s">
        <v>0</v>
      </c>
      <c r="K52" s="18" t="s">
        <v>0</v>
      </c>
      <c r="L52" s="15">
        <f>IFERROR(PayGapsForMalesInRacialEthnicGroupsByOccupationalSeries[[#This Row],[Black Male Employees]]/M$318,"")</f>
        <v>5.8392992840859096E-4</v>
      </c>
      <c r="M52" s="16">
        <v>73</v>
      </c>
      <c r="N52" s="17">
        <v>48000.369863013999</v>
      </c>
      <c r="O52" s="18">
        <f>IFERROR(PayGapsForMalesInRacialEthnicGroupsByOccupationalSeries[[#This Row],[Black Male Avg Salary]]/PayGapsForMalesInRacialEthnicGroupsByOccupationalSeries[[#This Row],[White Male Average Salary]],"")</f>
        <v>0.9883060887194498</v>
      </c>
      <c r="P52" s="15">
        <f>IFERROR(PayGapsForMalesInRacialEthnicGroupsByOccupationalSeries[[#This Row],[Hispanic Latino Male Employees]]/Q$318,"")</f>
        <v>4.5739609485378574E-4</v>
      </c>
      <c r="Q52" s="16">
        <v>45</v>
      </c>
      <c r="R52" s="17">
        <v>46733.155555555997</v>
      </c>
      <c r="S52" s="18">
        <f>IFERROR(PayGapsForMalesInRacialEthnicGroupsByOccupationalSeries[[#This Row],[Hispanic Latino Male Avg Salary]]/PayGapsForMalesInRacialEthnicGroupsByOccupationalSeries[[#This Row],[White Male Average Salary]],"")</f>
        <v>0.96221471443739115</v>
      </c>
      <c r="T52" s="15" t="str">
        <f>IFERROR(PayGapsForMalesInRacialEthnicGroupsByOccupationalSeries[[#This Row],[Other Male Employees]]/U$318,"")</f>
        <v/>
      </c>
      <c r="U52" s="16" t="s">
        <v>0</v>
      </c>
      <c r="V52" s="17" t="s">
        <v>0</v>
      </c>
      <c r="W5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53" spans="1:23" ht="15.6" x14ac:dyDescent="0.3">
      <c r="A53" s="4" t="s">
        <v>64</v>
      </c>
      <c r="B53" s="25">
        <v>489</v>
      </c>
      <c r="C53" s="26">
        <v>62172.768442622997</v>
      </c>
      <c r="D53" s="15" t="str">
        <f>IFERROR(PayGapsForMalesInRacialEthnicGroupsByOccupationalSeries[[#This Row],[AIAN Male Employees]]/E$318,"")</f>
        <v/>
      </c>
      <c r="E53" s="16" t="s">
        <v>0</v>
      </c>
      <c r="F53" s="17" t="s">
        <v>0</v>
      </c>
      <c r="G53" s="18" t="s">
        <v>0</v>
      </c>
      <c r="H53" s="15" t="str">
        <f>IFERROR(PayGapsForMalesInRacialEthnicGroupsByOccupationalSeries[[#This Row],[ANHPI Male Employees]]/I$318,"")</f>
        <v/>
      </c>
      <c r="I53" s="16" t="s">
        <v>0</v>
      </c>
      <c r="J53" s="17" t="s">
        <v>0</v>
      </c>
      <c r="K53" s="18" t="s">
        <v>0</v>
      </c>
      <c r="L53" s="15">
        <f>IFERROR(PayGapsForMalesInRacialEthnicGroupsByOccupationalSeries[[#This Row],[Black Male Employees]]/M$318,"")</f>
        <v>1.5038195416550014E-3</v>
      </c>
      <c r="M53" s="16">
        <v>188</v>
      </c>
      <c r="N53" s="17">
        <v>63160.845744680999</v>
      </c>
      <c r="O53" s="18">
        <f>IFERROR(PayGapsForMalesInRacialEthnicGroupsByOccupationalSeries[[#This Row],[Black Male Avg Salary]]/PayGapsForMalesInRacialEthnicGroupsByOccupationalSeries[[#This Row],[White Male Average Salary]],"")</f>
        <v>1.0158924449852971</v>
      </c>
      <c r="P53" s="15">
        <f>IFERROR(PayGapsForMalesInRacialEthnicGroupsByOccupationalSeries[[#This Row],[Hispanic Latino Male Employees]]/Q$318,"")</f>
        <v>8.538060437270667E-4</v>
      </c>
      <c r="Q53" s="16">
        <v>84</v>
      </c>
      <c r="R53" s="17">
        <v>60001.464285713999</v>
      </c>
      <c r="S53" s="18">
        <f>IFERROR(PayGapsForMalesInRacialEthnicGroupsByOccupationalSeries[[#This Row],[Hispanic Latino Male Avg Salary]]/PayGapsForMalesInRacialEthnicGroupsByOccupationalSeries[[#This Row],[White Male Average Salary]],"")</f>
        <v>0.96507628321372219</v>
      </c>
      <c r="T53" s="15" t="str">
        <f>IFERROR(PayGapsForMalesInRacialEthnicGroupsByOccupationalSeries[[#This Row],[Other Male Employees]]/U$318,"")</f>
        <v/>
      </c>
      <c r="U53" s="16" t="s">
        <v>0</v>
      </c>
      <c r="V53" s="17" t="s">
        <v>0</v>
      </c>
      <c r="W5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54" spans="1:23" ht="15.6" x14ac:dyDescent="0.3">
      <c r="A54" s="4" t="s">
        <v>65</v>
      </c>
      <c r="B54" s="25">
        <v>8031</v>
      </c>
      <c r="C54" s="26">
        <v>153553.82611949599</v>
      </c>
      <c r="D54" s="15">
        <f>IFERROR(PayGapsForMalesInRacialEthnicGroupsByOccupationalSeries[[#This Row],[AIAN Male Employees]]/E$318,"")</f>
        <v>1.3543788187372709E-2</v>
      </c>
      <c r="E54" s="16">
        <v>133</v>
      </c>
      <c r="F54" s="17">
        <v>146537.66165413501</v>
      </c>
      <c r="G54" s="18">
        <f>PayGapsForMalesInRacialEthnicGroupsByOccupationalSeries[[#This Row],[AIAN Male Avg Salary]]/PayGapsForMalesInRacialEthnicGroupsByOccupationalSeries[[#This Row],[White Male Average Salary]]</f>
        <v>0.95430811043483221</v>
      </c>
      <c r="H54" s="15">
        <f>IFERROR(PayGapsForMalesInRacialEthnicGroupsByOccupationalSeries[[#This Row],[ANHPI Male Employees]]/I$318,"")</f>
        <v>6.4649951550387599E-3</v>
      </c>
      <c r="I54" s="16">
        <v>427</v>
      </c>
      <c r="J54" s="17">
        <v>152516.175644028</v>
      </c>
      <c r="K54" s="18">
        <f>PayGapsForMalesInRacialEthnicGroupsByOccupationalSeries[[#This Row],[ANHPI Male Avg Salary]]/PayGapsForMalesInRacialEthnicGroupsByOccupationalSeries[[#This Row],[White Male Average Salary]]</f>
        <v>0.99324243164959958</v>
      </c>
      <c r="L54" s="15">
        <f>IFERROR(PayGapsForMalesInRacialEthnicGroupsByOccupationalSeries[[#This Row],[Black Male Employees]]/M$318,"")</f>
        <v>8.0710314762228539E-3</v>
      </c>
      <c r="M54" s="16">
        <v>1009</v>
      </c>
      <c r="N54" s="17">
        <v>153893.02380952399</v>
      </c>
      <c r="O54" s="18">
        <f>IFERROR(PayGapsForMalesInRacialEthnicGroupsByOccupationalSeries[[#This Row],[Black Male Avg Salary]]/PayGapsForMalesInRacialEthnicGroupsByOccupationalSeries[[#This Row],[White Male Average Salary]],"")</f>
        <v>1.0022089823392875</v>
      </c>
      <c r="P54" s="15">
        <f>IFERROR(PayGapsForMalesInRacialEthnicGroupsByOccupationalSeries[[#This Row],[Hispanic Latino Male Employees]]/Q$318,"")</f>
        <v>6.6881473425286888E-3</v>
      </c>
      <c r="Q54" s="16">
        <v>658</v>
      </c>
      <c r="R54" s="17">
        <v>145505.653435115</v>
      </c>
      <c r="S54" s="18">
        <f>IFERROR(PayGapsForMalesInRacialEthnicGroupsByOccupationalSeries[[#This Row],[Hispanic Latino Male Avg Salary]]/PayGapsForMalesInRacialEthnicGroupsByOccupationalSeries[[#This Row],[White Male Average Salary]],"")</f>
        <v>0.94758728657065261</v>
      </c>
      <c r="T54" s="15">
        <f>IFERROR(PayGapsForMalesInRacialEthnicGroupsByOccupationalSeries[[#This Row],[Other Male Employees]]/U$318,"")</f>
        <v>8.9792548250593462E-3</v>
      </c>
      <c r="U54" s="16">
        <v>174</v>
      </c>
      <c r="V54" s="17">
        <v>142527.896551724</v>
      </c>
      <c r="W54" s="18">
        <f>IFERROR(PayGapsForMalesInRacialEthnicGroupsByOccupationalSeries[[#This Row],[Other Male Avg Salary]]/PayGapsForMalesInRacialEthnicGroupsByOccupationalSeries[[#This Row],[White Male Average Salary]],"")</f>
        <v>0.92819501899489243</v>
      </c>
    </row>
    <row r="55" spans="1:23" ht="15.6" x14ac:dyDescent="0.3">
      <c r="A55" s="4" t="s">
        <v>66</v>
      </c>
      <c r="B55" s="25">
        <v>1515</v>
      </c>
      <c r="C55" s="26">
        <v>98949.150693984993</v>
      </c>
      <c r="D55" s="15">
        <f>IFERROR(PayGapsForMalesInRacialEthnicGroupsByOccupationalSeries[[#This Row],[AIAN Male Employees]]/E$318,"")</f>
        <v>2.7494908350305497E-3</v>
      </c>
      <c r="E55" s="16">
        <v>27</v>
      </c>
      <c r="F55" s="17">
        <v>84914</v>
      </c>
      <c r="G55" s="18">
        <f>PayGapsForMalesInRacialEthnicGroupsByOccupationalSeries[[#This Row],[AIAN Male Avg Salary]]/PayGapsForMalesInRacialEthnicGroupsByOccupationalSeries[[#This Row],[White Male Average Salary]]</f>
        <v>0.85815794682876267</v>
      </c>
      <c r="H55" s="15">
        <f>IFERROR(PayGapsForMalesInRacialEthnicGroupsByOccupationalSeries[[#This Row],[ANHPI Male Employees]]/I$318,"")</f>
        <v>1.7108769379844961E-3</v>
      </c>
      <c r="I55" s="16">
        <v>113</v>
      </c>
      <c r="J55" s="17">
        <v>95249.336283185999</v>
      </c>
      <c r="K55" s="18">
        <f>PayGapsForMalesInRacialEthnicGroupsByOccupationalSeries[[#This Row],[ANHPI Male Avg Salary]]/PayGapsForMalesInRacialEthnicGroupsByOccupationalSeries[[#This Row],[White Male Average Salary]]</f>
        <v>0.96260893211462495</v>
      </c>
      <c r="L55" s="15">
        <f>IFERROR(PayGapsForMalesInRacialEthnicGroupsByOccupationalSeries[[#This Row],[Black Male Employees]]/M$318,"")</f>
        <v>4.5594528656561209E-3</v>
      </c>
      <c r="M55" s="16">
        <v>570</v>
      </c>
      <c r="N55" s="17">
        <v>94963.894736842005</v>
      </c>
      <c r="O55" s="18">
        <f>IFERROR(PayGapsForMalesInRacialEthnicGroupsByOccupationalSeries[[#This Row],[Black Male Avg Salary]]/PayGapsForMalesInRacialEthnicGroupsByOccupationalSeries[[#This Row],[White Male Average Salary]],"")</f>
        <v>0.95972420248994372</v>
      </c>
      <c r="P55" s="15">
        <f>IFERROR(PayGapsForMalesInRacialEthnicGroupsByOccupationalSeries[[#This Row],[Hispanic Latino Male Employees]]/Q$318,"")</f>
        <v>2.0836933210005792E-3</v>
      </c>
      <c r="Q55" s="16">
        <v>205</v>
      </c>
      <c r="R55" s="17">
        <v>94236.568627450994</v>
      </c>
      <c r="S55" s="18">
        <f>IFERROR(PayGapsForMalesInRacialEthnicGroupsByOccupationalSeries[[#This Row],[Hispanic Latino Male Avg Salary]]/PayGapsForMalesInRacialEthnicGroupsByOccupationalSeries[[#This Row],[White Male Average Salary]],"")</f>
        <v>0.95237369867773436</v>
      </c>
      <c r="T55" s="15">
        <f>IFERROR(PayGapsForMalesInRacialEthnicGroupsByOccupationalSeries[[#This Row],[Other Male Employees]]/U$318,"")</f>
        <v>2.2190112498709875E-3</v>
      </c>
      <c r="U55" s="16">
        <v>43</v>
      </c>
      <c r="V55" s="17">
        <v>99750.837209302001</v>
      </c>
      <c r="W55" s="18">
        <f>IFERROR(PayGapsForMalesInRacialEthnicGroupsByOccupationalSeries[[#This Row],[Other Male Avg Salary]]/PayGapsForMalesInRacialEthnicGroupsByOccupationalSeries[[#This Row],[White Male Average Salary]],"")</f>
        <v>1.0081020050166609</v>
      </c>
    </row>
    <row r="56" spans="1:23" ht="31.2" x14ac:dyDescent="0.3">
      <c r="A56" s="4" t="s">
        <v>67</v>
      </c>
      <c r="B56" s="25">
        <v>467</v>
      </c>
      <c r="C56" s="26">
        <v>88842.623126338003</v>
      </c>
      <c r="D56" s="15" t="str">
        <f>IFERROR(PayGapsForMalesInRacialEthnicGroupsByOccupationalSeries[[#This Row],[AIAN Male Employees]]/E$318,"")</f>
        <v/>
      </c>
      <c r="E56" s="16" t="s">
        <v>0</v>
      </c>
      <c r="F56" s="17" t="s">
        <v>0</v>
      </c>
      <c r="G56" s="18" t="s">
        <v>0</v>
      </c>
      <c r="H56" s="15" t="str">
        <f>IFERROR(PayGapsForMalesInRacialEthnicGroupsByOccupationalSeries[[#This Row],[ANHPI Male Employees]]/I$318,"")</f>
        <v/>
      </c>
      <c r="I56" s="16" t="s">
        <v>0</v>
      </c>
      <c r="J56" s="17" t="s">
        <v>0</v>
      </c>
      <c r="K56" s="18" t="s">
        <v>0</v>
      </c>
      <c r="L56" s="15">
        <f>IFERROR(PayGapsForMalesInRacialEthnicGroupsByOccupationalSeries[[#This Row],[Black Male Employees]]/M$318,"")</f>
        <v>2.4157101147862258E-3</v>
      </c>
      <c r="M56" s="16">
        <v>302</v>
      </c>
      <c r="N56" s="17">
        <v>97138.288079470003</v>
      </c>
      <c r="O56" s="18">
        <f>IFERROR(PayGapsForMalesInRacialEthnicGroupsByOccupationalSeries[[#This Row],[Black Male Avg Salary]]/PayGapsForMalesInRacialEthnicGroupsByOccupationalSeries[[#This Row],[White Male Average Salary]],"")</f>
        <v>1.0933748313727207</v>
      </c>
      <c r="P56" s="15">
        <f>IFERROR(PayGapsForMalesInRacialEthnicGroupsByOccupationalSeries[[#This Row],[Hispanic Latino Male Employees]]/Q$318,"")</f>
        <v>9.5544962036124125E-4</v>
      </c>
      <c r="Q56" s="16">
        <v>94</v>
      </c>
      <c r="R56" s="17">
        <v>86160.010638298001</v>
      </c>
      <c r="S56" s="18">
        <f>IFERROR(PayGapsForMalesInRacialEthnicGroupsByOccupationalSeries[[#This Row],[Hispanic Latino Male Avg Salary]]/PayGapsForMalesInRacialEthnicGroupsByOccupationalSeries[[#This Row],[White Male Average Salary]],"")</f>
        <v>0.9698048932636173</v>
      </c>
      <c r="T56" s="15" t="str">
        <f>IFERROR(PayGapsForMalesInRacialEthnicGroupsByOccupationalSeries[[#This Row],[Other Male Employees]]/U$318,"")</f>
        <v/>
      </c>
      <c r="U56" s="16" t="s">
        <v>0</v>
      </c>
      <c r="V56" s="17" t="s">
        <v>0</v>
      </c>
      <c r="W5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57" spans="1:23" ht="31.2" x14ac:dyDescent="0.3">
      <c r="A57" s="4" t="s">
        <v>68</v>
      </c>
      <c r="B57" s="25">
        <v>22941</v>
      </c>
      <c r="C57" s="26">
        <v>118918.206367205</v>
      </c>
      <c r="D57" s="15">
        <f>IFERROR(PayGapsForMalesInRacialEthnicGroupsByOccupationalSeries[[#This Row],[AIAN Male Employees]]/E$318,"")</f>
        <v>2.6782077393075355E-2</v>
      </c>
      <c r="E57" s="16">
        <v>263</v>
      </c>
      <c r="F57" s="17">
        <v>104837.384030418</v>
      </c>
      <c r="G57" s="18">
        <f>PayGapsForMalesInRacialEthnicGroupsByOccupationalSeries[[#This Row],[AIAN Male Avg Salary]]/PayGapsForMalesInRacialEthnicGroupsByOccupationalSeries[[#This Row],[White Male Average Salary]]</f>
        <v>0.88159237540711699</v>
      </c>
      <c r="H57" s="15">
        <f>IFERROR(PayGapsForMalesInRacialEthnicGroupsByOccupationalSeries[[#This Row],[ANHPI Male Employees]]/I$318,"")</f>
        <v>2.8388444767441859E-2</v>
      </c>
      <c r="I57" s="16">
        <v>1875</v>
      </c>
      <c r="J57" s="17">
        <v>116775.789333333</v>
      </c>
      <c r="K57" s="18">
        <f>PayGapsForMalesInRacialEthnicGroupsByOccupationalSeries[[#This Row],[ANHPI Male Avg Salary]]/PayGapsForMalesInRacialEthnicGroupsByOccupationalSeries[[#This Row],[White Male Average Salary]]</f>
        <v>0.98198411244737016</v>
      </c>
      <c r="L57" s="15">
        <f>IFERROR(PayGapsForMalesInRacialEthnicGroupsByOccupationalSeries[[#This Row],[Black Male Employees]]/M$318,"")</f>
        <v>4.901011878574571E-2</v>
      </c>
      <c r="M57" s="16">
        <v>6127</v>
      </c>
      <c r="N57" s="17">
        <v>115297.487757101</v>
      </c>
      <c r="O57" s="18">
        <f>IFERROR(PayGapsForMalesInRacialEthnicGroupsByOccupationalSeries[[#This Row],[Black Male Avg Salary]]/PayGapsForMalesInRacialEthnicGroupsByOccupationalSeries[[#This Row],[White Male Average Salary]],"")</f>
        <v>0.96955286561484399</v>
      </c>
      <c r="P57" s="15">
        <f>IFERROR(PayGapsForMalesInRacialEthnicGroupsByOccupationalSeries[[#This Row],[Hispanic Latino Male Employees]]/Q$318,"")</f>
        <v>2.4282650457904311E-2</v>
      </c>
      <c r="Q57" s="16">
        <v>2389</v>
      </c>
      <c r="R57" s="17">
        <v>110408.459380235</v>
      </c>
      <c r="S57" s="18">
        <f>IFERROR(PayGapsForMalesInRacialEthnicGroupsByOccupationalSeries[[#This Row],[Hispanic Latino Male Avg Salary]]/PayGapsForMalesInRacialEthnicGroupsByOccupationalSeries[[#This Row],[White Male Average Salary]],"")</f>
        <v>0.9284403351939825</v>
      </c>
      <c r="T57" s="15">
        <f>IFERROR(PayGapsForMalesInRacialEthnicGroupsByOccupationalSeries[[#This Row],[Other Male Employees]]/U$318,"")</f>
        <v>4.1438744968521006E-2</v>
      </c>
      <c r="U57" s="16">
        <v>803</v>
      </c>
      <c r="V57" s="17">
        <v>110967.444582814</v>
      </c>
      <c r="W57" s="18">
        <f>IFERROR(PayGapsForMalesInRacialEthnicGroupsByOccupationalSeries[[#This Row],[Other Male Avg Salary]]/PayGapsForMalesInRacialEthnicGroupsByOccupationalSeries[[#This Row],[White Male Average Salary]],"")</f>
        <v>0.93314092074480159</v>
      </c>
    </row>
    <row r="58" spans="1:23" ht="31.2" x14ac:dyDescent="0.3">
      <c r="A58" s="4" t="s">
        <v>69</v>
      </c>
      <c r="B58" s="25">
        <v>489</v>
      </c>
      <c r="C58" s="26">
        <v>56673.179959100002</v>
      </c>
      <c r="D58" s="15" t="str">
        <f>IFERROR(PayGapsForMalesInRacialEthnicGroupsByOccupationalSeries[[#This Row],[AIAN Male Employees]]/E$318,"")</f>
        <v/>
      </c>
      <c r="E58" s="16" t="s">
        <v>0</v>
      </c>
      <c r="F58" s="17" t="s">
        <v>0</v>
      </c>
      <c r="G58" s="18" t="s">
        <v>0</v>
      </c>
      <c r="H58" s="15">
        <f>IFERROR(PayGapsForMalesInRacialEthnicGroupsByOccupationalSeries[[#This Row],[ANHPI Male Employees]]/I$318,"")</f>
        <v>8.0244670542635661E-4</v>
      </c>
      <c r="I58" s="16">
        <v>53</v>
      </c>
      <c r="J58" s="17">
        <v>58173.943396226001</v>
      </c>
      <c r="K58" s="18">
        <f>PayGapsForMalesInRacialEthnicGroupsByOccupationalSeries[[#This Row],[ANHPI Male Avg Salary]]/PayGapsForMalesInRacialEthnicGroupsByOccupationalSeries[[#This Row],[White Male Average Salary]]</f>
        <v>1.0264810169150393</v>
      </c>
      <c r="L58" s="15">
        <f>IFERROR(PayGapsForMalesInRacialEthnicGroupsByOccupationalSeries[[#This Row],[Black Male Employees]]/M$318,"")</f>
        <v>1.4398272207335121E-3</v>
      </c>
      <c r="M58" s="16">
        <v>180</v>
      </c>
      <c r="N58" s="17">
        <v>56338.333333333001</v>
      </c>
      <c r="O58" s="18">
        <f>IFERROR(PayGapsForMalesInRacialEthnicGroupsByOccupationalSeries[[#This Row],[Black Male Avg Salary]]/PayGapsForMalesInRacialEthnicGroupsByOccupationalSeries[[#This Row],[White Male Average Salary]],"")</f>
        <v>0.99409162100999704</v>
      </c>
      <c r="P58" s="15">
        <f>IFERROR(PayGapsForMalesInRacialEthnicGroupsByOccupationalSeries[[#This Row],[Hispanic Latino Male Employees]]/Q$318,"")</f>
        <v>1.2298872772735128E-3</v>
      </c>
      <c r="Q58" s="16">
        <v>121</v>
      </c>
      <c r="R58" s="17">
        <v>56580.421487603002</v>
      </c>
      <c r="S58" s="18">
        <f>IFERROR(PayGapsForMalesInRacialEthnicGroupsByOccupationalSeries[[#This Row],[Hispanic Latino Male Avg Salary]]/PayGapsForMalesInRacialEthnicGroupsByOccupationalSeries[[#This Row],[White Male Average Salary]],"")</f>
        <v>0.99836327392315127</v>
      </c>
      <c r="T58" s="15" t="str">
        <f>IFERROR(PayGapsForMalesInRacialEthnicGroupsByOccupationalSeries[[#This Row],[Other Male Employees]]/U$318,"")</f>
        <v/>
      </c>
      <c r="U58" s="16" t="s">
        <v>0</v>
      </c>
      <c r="V58" s="17" t="s">
        <v>0</v>
      </c>
      <c r="W5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59" spans="1:23" ht="15.6" x14ac:dyDescent="0.3">
      <c r="A59" s="4" t="s">
        <v>70</v>
      </c>
      <c r="B59" s="25">
        <v>10357</v>
      </c>
      <c r="C59" s="26">
        <v>107082.23495895699</v>
      </c>
      <c r="D59" s="15">
        <f>IFERROR(PayGapsForMalesInRacialEthnicGroupsByOccupationalSeries[[#This Row],[AIAN Male Employees]]/E$318,"")</f>
        <v>1.0692464358452138E-2</v>
      </c>
      <c r="E59" s="16">
        <v>105</v>
      </c>
      <c r="F59" s="17">
        <v>102711.80952381001</v>
      </c>
      <c r="G59" s="18">
        <f>PayGapsForMalesInRacialEthnicGroupsByOccupationalSeries[[#This Row],[AIAN Male Avg Salary]]/PayGapsForMalesInRacialEthnicGroupsByOccupationalSeries[[#This Row],[White Male Average Salary]]</f>
        <v>0.9591862699090834</v>
      </c>
      <c r="H59" s="15">
        <f>IFERROR(PayGapsForMalesInRacialEthnicGroupsByOccupationalSeries[[#This Row],[ANHPI Male Employees]]/I$318,"")</f>
        <v>9.4173934108527126E-3</v>
      </c>
      <c r="I59" s="16">
        <v>622</v>
      </c>
      <c r="J59" s="17">
        <v>99908.577170417993</v>
      </c>
      <c r="K59" s="18">
        <f>PayGapsForMalesInRacialEthnicGroupsByOccupationalSeries[[#This Row],[ANHPI Male Avg Salary]]/PayGapsForMalesInRacialEthnicGroupsByOccupationalSeries[[#This Row],[White Male Average Salary]]</f>
        <v>0.93300795606957065</v>
      </c>
      <c r="L59" s="15">
        <f>IFERROR(PayGapsForMalesInRacialEthnicGroupsByOccupationalSeries[[#This Row],[Black Male Employees]]/M$318,"")</f>
        <v>2.1397432308123025E-2</v>
      </c>
      <c r="M59" s="16">
        <v>2675</v>
      </c>
      <c r="N59" s="17">
        <v>105374.06808829001</v>
      </c>
      <c r="O59" s="18">
        <f>IFERROR(PayGapsForMalesInRacialEthnicGroupsByOccupationalSeries[[#This Row],[Black Male Avg Salary]]/PayGapsForMalesInRacialEthnicGroupsByOccupationalSeries[[#This Row],[White Male Average Salary]],"")</f>
        <v>0.98404808350029582</v>
      </c>
      <c r="P59" s="15">
        <f>IFERROR(PayGapsForMalesInRacialEthnicGroupsByOccupationalSeries[[#This Row],[Hispanic Latino Male Employees]]/Q$318,"")</f>
        <v>1.1953284612178934E-2</v>
      </c>
      <c r="Q59" s="16">
        <v>1176</v>
      </c>
      <c r="R59" s="17">
        <v>102991.94472789099</v>
      </c>
      <c r="S59" s="18">
        <f>IFERROR(PayGapsForMalesInRacialEthnicGroupsByOccupationalSeries[[#This Row],[Hispanic Latino Male Avg Salary]]/PayGapsForMalesInRacialEthnicGroupsByOccupationalSeries[[#This Row],[White Male Average Salary]],"")</f>
        <v>0.96180234534109466</v>
      </c>
      <c r="T59" s="15">
        <f>IFERROR(PayGapsForMalesInRacialEthnicGroupsByOccupationalSeries[[#This Row],[Other Male Employees]]/U$318,"")</f>
        <v>1.77520899989679E-2</v>
      </c>
      <c r="U59" s="16">
        <v>344</v>
      </c>
      <c r="V59" s="17">
        <v>100739.38372093</v>
      </c>
      <c r="W59" s="18">
        <f>IFERROR(PayGapsForMalesInRacialEthnicGroupsByOccupationalSeries[[#This Row],[Other Male Avg Salary]]/PayGapsForMalesInRacialEthnicGroupsByOccupationalSeries[[#This Row],[White Male Average Salary]],"")</f>
        <v>0.94076654040272767</v>
      </c>
    </row>
    <row r="60" spans="1:23" ht="15.6" x14ac:dyDescent="0.3">
      <c r="A60" s="4" t="s">
        <v>71</v>
      </c>
      <c r="B60" s="25">
        <v>183</v>
      </c>
      <c r="C60" s="26">
        <v>112852.387978142</v>
      </c>
      <c r="D60" s="15" t="str">
        <f>IFERROR(PayGapsForMalesInRacialEthnicGroupsByOccupationalSeries[[#This Row],[AIAN Male Employees]]/E$318,"")</f>
        <v/>
      </c>
      <c r="E60" s="16" t="s">
        <v>0</v>
      </c>
      <c r="F60" s="17" t="s">
        <v>0</v>
      </c>
      <c r="G60" s="18" t="s">
        <v>0</v>
      </c>
      <c r="H60" s="15" t="str">
        <f>IFERROR(PayGapsForMalesInRacialEthnicGroupsByOccupationalSeries[[#This Row],[ANHPI Male Employees]]/I$318,"")</f>
        <v/>
      </c>
      <c r="I60" s="16" t="s">
        <v>0</v>
      </c>
      <c r="J60" s="17" t="s">
        <v>0</v>
      </c>
      <c r="K60" s="18" t="s">
        <v>0</v>
      </c>
      <c r="L60" s="15">
        <f>IFERROR(PayGapsForMalesInRacialEthnicGroupsByOccupationalSeries[[#This Row],[Black Male Employees]]/M$318,"")</f>
        <v>1.1598608167019957E-3</v>
      </c>
      <c r="M60" s="16">
        <v>145</v>
      </c>
      <c r="N60" s="17">
        <v>107990.331034483</v>
      </c>
      <c r="O60" s="18">
        <f>IFERROR(PayGapsForMalesInRacialEthnicGroupsByOccupationalSeries[[#This Row],[Black Male Avg Salary]]/PayGapsForMalesInRacialEthnicGroupsByOccupationalSeries[[#This Row],[White Male Average Salary]],"")</f>
        <v>0.95691666759767002</v>
      </c>
      <c r="P60" s="15">
        <f>IFERROR(PayGapsForMalesInRacialEthnicGroupsByOccupationalSeries[[#This Row],[Hispanic Latino Male Employees]]/Q$318,"")</f>
        <v>6.8101196344896983E-4</v>
      </c>
      <c r="Q60" s="16">
        <v>67</v>
      </c>
      <c r="R60" s="17">
        <v>106973.358208955</v>
      </c>
      <c r="S60" s="18">
        <f>IFERROR(PayGapsForMalesInRacialEthnicGroupsByOccupationalSeries[[#This Row],[Hispanic Latino Male Avg Salary]]/PayGapsForMalesInRacialEthnicGroupsByOccupationalSeries[[#This Row],[White Male Average Salary]],"")</f>
        <v>0.94790513630667983</v>
      </c>
      <c r="T60" s="15" t="str">
        <f>IFERROR(PayGapsForMalesInRacialEthnicGroupsByOccupationalSeries[[#This Row],[Other Male Employees]]/U$318,"")</f>
        <v/>
      </c>
      <c r="U60" s="16" t="s">
        <v>0</v>
      </c>
      <c r="V60" s="17" t="s">
        <v>0</v>
      </c>
      <c r="W6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61" spans="1:23" ht="15.6" x14ac:dyDescent="0.3">
      <c r="A61" s="4" t="s">
        <v>72</v>
      </c>
      <c r="B61" s="25">
        <v>82</v>
      </c>
      <c r="C61" s="26">
        <v>40222.463414634003</v>
      </c>
      <c r="D61" s="15" t="str">
        <f>IFERROR(PayGapsForMalesInRacialEthnicGroupsByOccupationalSeries[[#This Row],[AIAN Male Employees]]/E$318,"")</f>
        <v/>
      </c>
      <c r="E61" s="16" t="s">
        <v>0</v>
      </c>
      <c r="F61" s="17" t="s">
        <v>0</v>
      </c>
      <c r="G61" s="18" t="s">
        <v>0</v>
      </c>
      <c r="H61" s="15" t="str">
        <f>IFERROR(PayGapsForMalesInRacialEthnicGroupsByOccupationalSeries[[#This Row],[ANHPI Male Employees]]/I$318,"")</f>
        <v/>
      </c>
      <c r="I61" s="16" t="s">
        <v>0</v>
      </c>
      <c r="J61" s="17" t="s">
        <v>0</v>
      </c>
      <c r="K61" s="18" t="s">
        <v>0</v>
      </c>
      <c r="L61" s="15">
        <f>IFERROR(PayGapsForMalesInRacialEthnicGroupsByOccupationalSeries[[#This Row],[Black Male Employees]]/M$318,"")</f>
        <v>4.7994240691117069E-4</v>
      </c>
      <c r="M61" s="16">
        <v>60</v>
      </c>
      <c r="N61" s="17">
        <v>40958.859649122998</v>
      </c>
      <c r="O61" s="18">
        <f>IFERROR(PayGapsForMalesInRacialEthnicGroupsByOccupationalSeries[[#This Row],[Black Male Avg Salary]]/PayGapsForMalesInRacialEthnicGroupsByOccupationalSeries[[#This Row],[White Male Average Salary]],"")</f>
        <v>1.0183080838907812</v>
      </c>
      <c r="P61" s="15" t="str">
        <f>IFERROR(PayGapsForMalesInRacialEthnicGroupsByOccupationalSeries[[#This Row],[Hispanic Latino Male Employees]]/Q$318,"")</f>
        <v/>
      </c>
      <c r="Q61" s="16" t="s">
        <v>0</v>
      </c>
      <c r="R61" s="17" t="s">
        <v>0</v>
      </c>
      <c r="S6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61" s="15" t="str">
        <f>IFERROR(PayGapsForMalesInRacialEthnicGroupsByOccupationalSeries[[#This Row],[Other Male Employees]]/U$318,"")</f>
        <v/>
      </c>
      <c r="U61" s="16" t="s">
        <v>0</v>
      </c>
      <c r="V61" s="17" t="s">
        <v>0</v>
      </c>
      <c r="W6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62" spans="1:23" ht="15.6" x14ac:dyDescent="0.3">
      <c r="A62" s="4" t="s">
        <v>73</v>
      </c>
      <c r="B62" s="25">
        <v>2660</v>
      </c>
      <c r="C62" s="26">
        <v>107047.36206247599</v>
      </c>
      <c r="D62" s="15" t="str">
        <f>IFERROR(PayGapsForMalesInRacialEthnicGroupsByOccupationalSeries[[#This Row],[AIAN Male Employees]]/E$318,"")</f>
        <v/>
      </c>
      <c r="E62" s="16" t="s">
        <v>0</v>
      </c>
      <c r="F62" s="17" t="s">
        <v>0</v>
      </c>
      <c r="G62" s="18" t="s">
        <v>0</v>
      </c>
      <c r="H62" s="15">
        <f>IFERROR(PayGapsForMalesInRacialEthnicGroupsByOccupationalSeries[[#This Row],[ANHPI Male Employees]]/I$318,"")</f>
        <v>2.9069767441860465E-3</v>
      </c>
      <c r="I62" s="16">
        <v>192</v>
      </c>
      <c r="J62" s="17">
        <v>102844.796875</v>
      </c>
      <c r="K62" s="18">
        <f>PayGapsForMalesInRacialEthnicGroupsByOccupationalSeries[[#This Row],[ANHPI Male Avg Salary]]/PayGapsForMalesInRacialEthnicGroupsByOccupationalSeries[[#This Row],[White Male Average Salary]]</f>
        <v>0.9607410672574701</v>
      </c>
      <c r="L62" s="15">
        <f>IFERROR(PayGapsForMalesInRacialEthnicGroupsByOccupationalSeries[[#This Row],[Black Male Employees]]/M$318,"")</f>
        <v>5.1513818341798988E-3</v>
      </c>
      <c r="M62" s="16">
        <v>644</v>
      </c>
      <c r="N62" s="17">
        <v>107246.951863354</v>
      </c>
      <c r="O62" s="18">
        <f>IFERROR(PayGapsForMalesInRacialEthnicGroupsByOccupationalSeries[[#This Row],[Black Male Avg Salary]]/PayGapsForMalesInRacialEthnicGroupsByOccupationalSeries[[#This Row],[White Male Average Salary]],"")</f>
        <v>1.0018644999468695</v>
      </c>
      <c r="P62" s="15">
        <f>IFERROR(PayGapsForMalesInRacialEthnicGroupsByOccupationalSeries[[#This Row],[Hispanic Latino Male Employees]]/Q$318,"")</f>
        <v>3.6388400435034508E-3</v>
      </c>
      <c r="Q62" s="16">
        <v>358</v>
      </c>
      <c r="R62" s="17">
        <v>101429.02801120401</v>
      </c>
      <c r="S62" s="18">
        <f>IFERROR(PayGapsForMalesInRacialEthnicGroupsByOccupationalSeries[[#This Row],[Hispanic Latino Male Avg Salary]]/PayGapsForMalesInRacialEthnicGroupsByOccupationalSeries[[#This Row],[White Male Average Salary]],"")</f>
        <v>0.94751543669060279</v>
      </c>
      <c r="T62" s="15">
        <f>IFERROR(PayGapsForMalesInRacialEthnicGroupsByOccupationalSeries[[#This Row],[Other Male Employees]]/U$318,"")</f>
        <v>6.1409846217359895E-3</v>
      </c>
      <c r="U62" s="16">
        <v>119</v>
      </c>
      <c r="V62" s="17">
        <v>102572.638655462</v>
      </c>
      <c r="W62" s="18">
        <f>IFERROR(PayGapsForMalesInRacialEthnicGroupsByOccupationalSeries[[#This Row],[Other Male Avg Salary]]/PayGapsForMalesInRacialEthnicGroupsByOccupationalSeries[[#This Row],[White Male Average Salary]],"")</f>
        <v>0.95819865785760872</v>
      </c>
    </row>
    <row r="63" spans="1:23" ht="15.6" x14ac:dyDescent="0.3">
      <c r="A63" s="4" t="s">
        <v>74</v>
      </c>
      <c r="B63" s="25">
        <v>88</v>
      </c>
      <c r="C63" s="26">
        <v>60952.885057471001</v>
      </c>
      <c r="D63" s="15" t="str">
        <f>IFERROR(PayGapsForMalesInRacialEthnicGroupsByOccupationalSeries[[#This Row],[AIAN Male Employees]]/E$318,"")</f>
        <v/>
      </c>
      <c r="E63" s="16" t="s">
        <v>0</v>
      </c>
      <c r="F63" s="17" t="s">
        <v>0</v>
      </c>
      <c r="G63" s="18" t="s">
        <v>0</v>
      </c>
      <c r="H63" s="15" t="str">
        <f>IFERROR(PayGapsForMalesInRacialEthnicGroupsByOccupationalSeries[[#This Row],[ANHPI Male Employees]]/I$318,"")</f>
        <v/>
      </c>
      <c r="I63" s="16" t="s">
        <v>0</v>
      </c>
      <c r="J63" s="17" t="s">
        <v>0</v>
      </c>
      <c r="K63" s="18" t="s">
        <v>0</v>
      </c>
      <c r="L63" s="15" t="str">
        <f>IFERROR(PayGapsForMalesInRacialEthnicGroupsByOccupationalSeries[[#This Row],[Black Male Employees]]/M$318,"")</f>
        <v/>
      </c>
      <c r="M63" s="16" t="s">
        <v>0</v>
      </c>
      <c r="N63" s="17" t="s">
        <v>0</v>
      </c>
      <c r="O63" s="18" t="str">
        <f>IFERROR(PayGapsForMalesInRacialEthnicGroupsByOccupationalSeries[[#This Row],[Black Male Avg Salary]]/PayGapsForMalesInRacialEthnicGroupsByOccupationalSeries[[#This Row],[White Male Average Salary]],"")</f>
        <v/>
      </c>
      <c r="P63" s="15" t="str">
        <f>IFERROR(PayGapsForMalesInRacialEthnicGroupsByOccupationalSeries[[#This Row],[Hispanic Latino Male Employees]]/Q$318,"")</f>
        <v/>
      </c>
      <c r="Q63" s="16" t="s">
        <v>0</v>
      </c>
      <c r="R63" s="17" t="s">
        <v>0</v>
      </c>
      <c r="S6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63" s="15" t="str">
        <f>IFERROR(PayGapsForMalesInRacialEthnicGroupsByOccupationalSeries[[#This Row],[Other Male Employees]]/U$318,"")</f>
        <v/>
      </c>
      <c r="U63" s="16" t="s">
        <v>0</v>
      </c>
      <c r="V63" s="17" t="s">
        <v>0</v>
      </c>
      <c r="W6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64" spans="1:23" ht="31.2" x14ac:dyDescent="0.3">
      <c r="A64" s="4" t="s">
        <v>75</v>
      </c>
      <c r="B64" s="25">
        <v>60</v>
      </c>
      <c r="C64" s="26">
        <v>42264.566666667</v>
      </c>
      <c r="D64" s="15" t="str">
        <f>IFERROR(PayGapsForMalesInRacialEthnicGroupsByOccupationalSeries[[#This Row],[AIAN Male Employees]]/E$318,"")</f>
        <v/>
      </c>
      <c r="E64" s="16" t="s">
        <v>0</v>
      </c>
      <c r="F64" s="17" t="s">
        <v>0</v>
      </c>
      <c r="G64" s="18" t="s">
        <v>0</v>
      </c>
      <c r="H64" s="15" t="str">
        <f>IFERROR(PayGapsForMalesInRacialEthnicGroupsByOccupationalSeries[[#This Row],[ANHPI Male Employees]]/I$318,"")</f>
        <v/>
      </c>
      <c r="I64" s="16" t="s">
        <v>0</v>
      </c>
      <c r="J64" s="17" t="s">
        <v>0</v>
      </c>
      <c r="K64" s="18" t="s">
        <v>0</v>
      </c>
      <c r="L64" s="15" t="str">
        <f>IFERROR(PayGapsForMalesInRacialEthnicGroupsByOccupationalSeries[[#This Row],[Black Male Employees]]/M$318,"")</f>
        <v/>
      </c>
      <c r="M64" s="16" t="s">
        <v>0</v>
      </c>
      <c r="N64" s="17" t="s">
        <v>0</v>
      </c>
      <c r="O64" s="18" t="str">
        <f>IFERROR(PayGapsForMalesInRacialEthnicGroupsByOccupationalSeries[[#This Row],[Black Male Avg Salary]]/PayGapsForMalesInRacialEthnicGroupsByOccupationalSeries[[#This Row],[White Male Average Salary]],"")</f>
        <v/>
      </c>
      <c r="P64" s="15" t="str">
        <f>IFERROR(PayGapsForMalesInRacialEthnicGroupsByOccupationalSeries[[#This Row],[Hispanic Latino Male Employees]]/Q$318,"")</f>
        <v/>
      </c>
      <c r="Q64" s="16" t="s">
        <v>0</v>
      </c>
      <c r="R64" s="17" t="s">
        <v>0</v>
      </c>
      <c r="S6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64" s="15" t="str">
        <f>IFERROR(PayGapsForMalesInRacialEthnicGroupsByOccupationalSeries[[#This Row],[Other Male Employees]]/U$318,"")</f>
        <v/>
      </c>
      <c r="U64" s="16" t="s">
        <v>0</v>
      </c>
      <c r="V64" s="17" t="s">
        <v>0</v>
      </c>
      <c r="W6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65" spans="1:23" ht="31.2" x14ac:dyDescent="0.3">
      <c r="A65" s="4" t="s">
        <v>76</v>
      </c>
      <c r="B65" s="25">
        <v>8584</v>
      </c>
      <c r="C65" s="26">
        <v>101869.804335159</v>
      </c>
      <c r="D65" s="15">
        <f>IFERROR(PayGapsForMalesInRacialEthnicGroupsByOccupationalSeries[[#This Row],[AIAN Male Employees]]/E$318,"")</f>
        <v>1.680244399185336E-2</v>
      </c>
      <c r="E65" s="16">
        <v>165</v>
      </c>
      <c r="F65" s="17">
        <v>95049.933333333</v>
      </c>
      <c r="G65" s="18">
        <f>PayGapsForMalesInRacialEthnicGroupsByOccupationalSeries[[#This Row],[AIAN Male Avg Salary]]/PayGapsForMalesInRacialEthnicGroupsByOccupationalSeries[[#This Row],[White Male Average Salary]]</f>
        <v>0.93305306664388854</v>
      </c>
      <c r="H65" s="15">
        <f>IFERROR(PayGapsForMalesInRacialEthnicGroupsByOccupationalSeries[[#This Row],[ANHPI Male Employees]]/I$318,"")</f>
        <v>1.4489462209302325E-2</v>
      </c>
      <c r="I65" s="16">
        <v>957</v>
      </c>
      <c r="J65" s="17">
        <v>115237.193312435</v>
      </c>
      <c r="K65" s="18">
        <f>PayGapsForMalesInRacialEthnicGroupsByOccupationalSeries[[#This Row],[ANHPI Male Avg Salary]]/PayGapsForMalesInRacialEthnicGroupsByOccupationalSeries[[#This Row],[White Male Average Salary]]</f>
        <v>1.1312203264207352</v>
      </c>
      <c r="L65" s="15">
        <f>IFERROR(PayGapsForMalesInRacialEthnicGroupsByOccupationalSeries[[#This Row],[Black Male Employees]]/M$318,"")</f>
        <v>3.3515978082630086E-3</v>
      </c>
      <c r="M65" s="16">
        <v>419</v>
      </c>
      <c r="N65" s="17">
        <v>108859.577565632</v>
      </c>
      <c r="O65" s="18">
        <f>IFERROR(PayGapsForMalesInRacialEthnicGroupsByOccupationalSeries[[#This Row],[Black Male Avg Salary]]/PayGapsForMalesInRacialEthnicGroupsByOccupationalSeries[[#This Row],[White Male Average Salary]],"")</f>
        <v>1.0686147703540898</v>
      </c>
      <c r="P65" s="15">
        <f>IFERROR(PayGapsForMalesInRacialEthnicGroupsByOccupationalSeries[[#This Row],[Hispanic Latino Male Employees]]/Q$318,"")</f>
        <v>1.0509945823973655E-2</v>
      </c>
      <c r="Q65" s="16">
        <v>1034</v>
      </c>
      <c r="R65" s="17">
        <v>97142.979690521999</v>
      </c>
      <c r="S65" s="18">
        <f>IFERROR(PayGapsForMalesInRacialEthnicGroupsByOccupationalSeries[[#This Row],[Hispanic Latino Male Avg Salary]]/PayGapsForMalesInRacialEthnicGroupsByOccupationalSeries[[#This Row],[White Male Average Salary]],"")</f>
        <v>0.95359935482858682</v>
      </c>
      <c r="T65" s="15">
        <f>IFERROR(PayGapsForMalesInRacialEthnicGroupsByOccupationalSeries[[#This Row],[Other Male Employees]]/U$318,"")</f>
        <v>1.0269377644751781E-2</v>
      </c>
      <c r="U65" s="16">
        <v>199</v>
      </c>
      <c r="V65" s="17">
        <v>94710.929648240999</v>
      </c>
      <c r="W65" s="18">
        <f>IFERROR(PayGapsForMalesInRacialEthnicGroupsByOccupationalSeries[[#This Row],[Other Male Avg Salary]]/PayGapsForMalesInRacialEthnicGroupsByOccupationalSeries[[#This Row],[White Male Average Salary]],"")</f>
        <v>0.92972525338946577</v>
      </c>
    </row>
    <row r="66" spans="1:23" ht="15.6" x14ac:dyDescent="0.3">
      <c r="A66" s="4" t="s">
        <v>77</v>
      </c>
      <c r="B66" s="25">
        <v>524</v>
      </c>
      <c r="C66" s="26">
        <v>127392.39196940701</v>
      </c>
      <c r="D66" s="15" t="str">
        <f>IFERROR(PayGapsForMalesInRacialEthnicGroupsByOccupationalSeries[[#This Row],[AIAN Male Employees]]/E$318,"")</f>
        <v/>
      </c>
      <c r="E66" s="16" t="s">
        <v>0</v>
      </c>
      <c r="F66" s="17" t="s">
        <v>0</v>
      </c>
      <c r="G66" s="18" t="s">
        <v>0</v>
      </c>
      <c r="H66" s="15">
        <f>IFERROR(PayGapsForMalesInRacialEthnicGroupsByOccupationalSeries[[#This Row],[ANHPI Male Employees]]/I$318,"")</f>
        <v>2.1045300387596898E-3</v>
      </c>
      <c r="I66" s="16">
        <v>139</v>
      </c>
      <c r="J66" s="17">
        <v>131259.74820143901</v>
      </c>
      <c r="K66" s="18">
        <f>PayGapsForMalesInRacialEthnicGroupsByOccupationalSeries[[#This Row],[ANHPI Male Avg Salary]]/PayGapsForMalesInRacialEthnicGroupsByOccupationalSeries[[#This Row],[White Male Average Salary]]</f>
        <v>1.0303578272787337</v>
      </c>
      <c r="L66" s="15">
        <f>IFERROR(PayGapsForMalesInRacialEthnicGroupsByOccupationalSeries[[#This Row],[Black Male Employees]]/M$318,"")</f>
        <v>4.4794624645042594E-4</v>
      </c>
      <c r="M66" s="16">
        <v>56</v>
      </c>
      <c r="N66" s="17">
        <v>114597.767857143</v>
      </c>
      <c r="O66" s="18">
        <f>IFERROR(PayGapsForMalesInRacialEthnicGroupsByOccupationalSeries[[#This Row],[Black Male Avg Salary]]/PayGapsForMalesInRacialEthnicGroupsByOccupationalSeries[[#This Row],[White Male Average Salary]],"")</f>
        <v>0.89956524157787532</v>
      </c>
      <c r="P66" s="15">
        <f>IFERROR(PayGapsForMalesInRacialEthnicGroupsByOccupationalSeries[[#This Row],[Hispanic Latino Male Employees]]/Q$318,"")</f>
        <v>4.370673795269508E-4</v>
      </c>
      <c r="Q66" s="16">
        <v>43</v>
      </c>
      <c r="R66" s="17">
        <v>114811.09302325601</v>
      </c>
      <c r="S66" s="18">
        <f>IFERROR(PayGapsForMalesInRacialEthnicGroupsByOccupationalSeries[[#This Row],[Hispanic Latino Male Avg Salary]]/PayGapsForMalesInRacialEthnicGroupsByOccupationalSeries[[#This Row],[White Male Average Salary]],"")</f>
        <v>0.90123979343152316</v>
      </c>
      <c r="T66" s="15" t="str">
        <f>IFERROR(PayGapsForMalesInRacialEthnicGroupsByOccupationalSeries[[#This Row],[Other Male Employees]]/U$318,"")</f>
        <v/>
      </c>
      <c r="U66" s="16" t="s">
        <v>0</v>
      </c>
      <c r="V66" s="17" t="s">
        <v>0</v>
      </c>
      <c r="W6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67" spans="1:23" ht="15.6" x14ac:dyDescent="0.3">
      <c r="A67" s="4" t="s">
        <v>78</v>
      </c>
      <c r="B67" s="25">
        <v>1039</v>
      </c>
      <c r="C67" s="26">
        <v>60858.550626807999</v>
      </c>
      <c r="D67" s="15" t="str">
        <f>IFERROR(PayGapsForMalesInRacialEthnicGroupsByOccupationalSeries[[#This Row],[AIAN Male Employees]]/E$318,"")</f>
        <v/>
      </c>
      <c r="E67" s="16" t="s">
        <v>0</v>
      </c>
      <c r="F67" s="17" t="s">
        <v>0</v>
      </c>
      <c r="G67" s="18" t="s">
        <v>0</v>
      </c>
      <c r="H67" s="15">
        <f>IFERROR(PayGapsForMalesInRacialEthnicGroupsByOccupationalSeries[[#This Row],[ANHPI Male Employees]]/I$318,"")</f>
        <v>9.6899224806201549E-4</v>
      </c>
      <c r="I67" s="16">
        <v>64</v>
      </c>
      <c r="J67" s="17">
        <v>62280.34375</v>
      </c>
      <c r="K67" s="18">
        <f>PayGapsForMalesInRacialEthnicGroupsByOccupationalSeries[[#This Row],[ANHPI Male Avg Salary]]/PayGapsForMalesInRacialEthnicGroupsByOccupationalSeries[[#This Row],[White Male Average Salary]]</f>
        <v>1.0233622573746557</v>
      </c>
      <c r="L67" s="15">
        <f>IFERROR(PayGapsForMalesInRacialEthnicGroupsByOccupationalSeries[[#This Row],[Black Male Employees]]/M$318,"")</f>
        <v>7.1191457025156983E-4</v>
      </c>
      <c r="M67" s="16">
        <v>89</v>
      </c>
      <c r="N67" s="17">
        <v>62596.494382022</v>
      </c>
      <c r="O67" s="18">
        <f>IFERROR(PayGapsForMalesInRacialEthnicGroupsByOccupationalSeries[[#This Row],[Black Male Avg Salary]]/PayGapsForMalesInRacialEthnicGroupsByOccupationalSeries[[#This Row],[White Male Average Salary]],"")</f>
        <v>1.0285571006426242</v>
      </c>
      <c r="P67" s="15">
        <f>IFERROR(PayGapsForMalesInRacialEthnicGroupsByOccupationalSeries[[#This Row],[Hispanic Latino Male Employees]]/Q$318,"")</f>
        <v>7.0134067877580472E-4</v>
      </c>
      <c r="Q67" s="16">
        <v>69</v>
      </c>
      <c r="R67" s="17">
        <v>57677.536231883998</v>
      </c>
      <c r="S67" s="18">
        <f>IFERROR(PayGapsForMalesInRacialEthnicGroupsByOccupationalSeries[[#This Row],[Hispanic Latino Male Avg Salary]]/PayGapsForMalesInRacialEthnicGroupsByOccupationalSeries[[#This Row],[White Male Average Salary]],"")</f>
        <v>0.94773101951720196</v>
      </c>
      <c r="T67" s="15" t="str">
        <f>IFERROR(PayGapsForMalesInRacialEthnicGroupsByOccupationalSeries[[#This Row],[Other Male Employees]]/U$318,"")</f>
        <v/>
      </c>
      <c r="U67" s="16" t="s">
        <v>0</v>
      </c>
      <c r="V67" s="17" t="s">
        <v>0</v>
      </c>
      <c r="W6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68" spans="1:23" ht="15.6" x14ac:dyDescent="0.3">
      <c r="A68" s="4" t="s">
        <v>79</v>
      </c>
      <c r="B68" s="25">
        <v>92</v>
      </c>
      <c r="C68" s="26">
        <v>164875.652173913</v>
      </c>
      <c r="D68" s="15" t="str">
        <f>IFERROR(PayGapsForMalesInRacialEthnicGroupsByOccupationalSeries[[#This Row],[AIAN Male Employees]]/E$318,"")</f>
        <v/>
      </c>
      <c r="E68" s="16" t="s">
        <v>0</v>
      </c>
      <c r="F68" s="17" t="s">
        <v>0</v>
      </c>
      <c r="G68" s="18" t="s">
        <v>0</v>
      </c>
      <c r="H68" s="15">
        <f>IFERROR(PayGapsForMalesInRacialEthnicGroupsByOccupationalSeries[[#This Row],[ANHPI Male Employees]]/I$318,"")</f>
        <v>1.6351744186046512E-3</v>
      </c>
      <c r="I68" s="16">
        <v>108</v>
      </c>
      <c r="J68" s="17">
        <v>160299.18518518499</v>
      </c>
      <c r="K68" s="18">
        <f>PayGapsForMalesInRacialEthnicGroupsByOccupationalSeries[[#This Row],[ANHPI Male Avg Salary]]/PayGapsForMalesInRacialEthnicGroupsByOccupationalSeries[[#This Row],[White Male Average Salary]]</f>
        <v>0.97224291805135254</v>
      </c>
      <c r="L68" s="15" t="str">
        <f>IFERROR(PayGapsForMalesInRacialEthnicGroupsByOccupationalSeries[[#This Row],[Black Male Employees]]/M$318,"")</f>
        <v/>
      </c>
      <c r="M68" s="16" t="s">
        <v>0</v>
      </c>
      <c r="N68" s="17" t="s">
        <v>0</v>
      </c>
      <c r="O68" s="18" t="str">
        <f>IFERROR(PayGapsForMalesInRacialEthnicGroupsByOccupationalSeries[[#This Row],[Black Male Avg Salary]]/PayGapsForMalesInRacialEthnicGroupsByOccupationalSeries[[#This Row],[White Male Average Salary]],"")</f>
        <v/>
      </c>
      <c r="P68" s="15" t="str">
        <f>IFERROR(PayGapsForMalesInRacialEthnicGroupsByOccupationalSeries[[#This Row],[Hispanic Latino Male Employees]]/Q$318,"")</f>
        <v/>
      </c>
      <c r="Q68" s="16" t="s">
        <v>0</v>
      </c>
      <c r="R68" s="17" t="s">
        <v>0</v>
      </c>
      <c r="S6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68" s="15" t="str">
        <f>IFERROR(PayGapsForMalesInRacialEthnicGroupsByOccupationalSeries[[#This Row],[Other Male Employees]]/U$318,"")</f>
        <v/>
      </c>
      <c r="U68" s="16" t="s">
        <v>0</v>
      </c>
      <c r="V68" s="17" t="s">
        <v>0</v>
      </c>
      <c r="W6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69" spans="1:23" ht="15.6" x14ac:dyDescent="0.3">
      <c r="A69" s="4" t="s">
        <v>80</v>
      </c>
      <c r="B69" s="25">
        <v>576</v>
      </c>
      <c r="C69" s="26">
        <v>114797.25520833299</v>
      </c>
      <c r="D69" s="15" t="str">
        <f>IFERROR(PayGapsForMalesInRacialEthnicGroupsByOccupationalSeries[[#This Row],[AIAN Male Employees]]/E$318,"")</f>
        <v/>
      </c>
      <c r="E69" s="16" t="s">
        <v>0</v>
      </c>
      <c r="F69" s="17" t="s">
        <v>0</v>
      </c>
      <c r="G69" s="18" t="s">
        <v>0</v>
      </c>
      <c r="H69" s="15" t="str">
        <f>IFERROR(PayGapsForMalesInRacialEthnicGroupsByOccupationalSeries[[#This Row],[ANHPI Male Employees]]/I$318,"")</f>
        <v/>
      </c>
      <c r="I69" s="16" t="s">
        <v>0</v>
      </c>
      <c r="J69" s="17" t="s">
        <v>0</v>
      </c>
      <c r="K69" s="18" t="s">
        <v>0</v>
      </c>
      <c r="L69" s="15" t="str">
        <f>IFERROR(PayGapsForMalesInRacialEthnicGroupsByOccupationalSeries[[#This Row],[Black Male Employees]]/M$318,"")</f>
        <v/>
      </c>
      <c r="M69" s="16" t="s">
        <v>0</v>
      </c>
      <c r="N69" s="17" t="s">
        <v>0</v>
      </c>
      <c r="O69" s="18" t="str">
        <f>IFERROR(PayGapsForMalesInRacialEthnicGroupsByOccupationalSeries[[#This Row],[Black Male Avg Salary]]/PayGapsForMalesInRacialEthnicGroupsByOccupationalSeries[[#This Row],[White Male Average Salary]],"")</f>
        <v/>
      </c>
      <c r="P69" s="15" t="str">
        <f>IFERROR(PayGapsForMalesInRacialEthnicGroupsByOccupationalSeries[[#This Row],[Hispanic Latino Male Employees]]/Q$318,"")</f>
        <v/>
      </c>
      <c r="Q69" s="16" t="s">
        <v>0</v>
      </c>
      <c r="R69" s="17" t="s">
        <v>0</v>
      </c>
      <c r="S6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69" s="15" t="str">
        <f>IFERROR(PayGapsForMalesInRacialEthnicGroupsByOccupationalSeries[[#This Row],[Other Male Employees]]/U$318,"")</f>
        <v/>
      </c>
      <c r="U69" s="16" t="s">
        <v>0</v>
      </c>
      <c r="V69" s="17" t="s">
        <v>0</v>
      </c>
      <c r="W6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70" spans="1:23" ht="15.6" x14ac:dyDescent="0.3">
      <c r="A70" s="4" t="s">
        <v>81</v>
      </c>
      <c r="B70" s="25">
        <v>99</v>
      </c>
      <c r="C70" s="26">
        <v>130507.464646465</v>
      </c>
      <c r="D70" s="15" t="str">
        <f>IFERROR(PayGapsForMalesInRacialEthnicGroupsByOccupationalSeries[[#This Row],[AIAN Male Employees]]/E$318,"")</f>
        <v/>
      </c>
      <c r="E70" s="16" t="s">
        <v>0</v>
      </c>
      <c r="F70" s="17" t="s">
        <v>0</v>
      </c>
      <c r="G70" s="18" t="s">
        <v>0</v>
      </c>
      <c r="H70" s="15" t="str">
        <f>IFERROR(PayGapsForMalesInRacialEthnicGroupsByOccupationalSeries[[#This Row],[ANHPI Male Employees]]/I$318,"")</f>
        <v/>
      </c>
      <c r="I70" s="16" t="s">
        <v>0</v>
      </c>
      <c r="J70" s="17" t="s">
        <v>0</v>
      </c>
      <c r="K70" s="18" t="s">
        <v>0</v>
      </c>
      <c r="L70" s="15" t="str">
        <f>IFERROR(PayGapsForMalesInRacialEthnicGroupsByOccupationalSeries[[#This Row],[Black Male Employees]]/M$318,"")</f>
        <v/>
      </c>
      <c r="M70" s="16" t="s">
        <v>0</v>
      </c>
      <c r="N70" s="17" t="s">
        <v>0</v>
      </c>
      <c r="O70" s="18" t="str">
        <f>IFERROR(PayGapsForMalesInRacialEthnicGroupsByOccupationalSeries[[#This Row],[Black Male Avg Salary]]/PayGapsForMalesInRacialEthnicGroupsByOccupationalSeries[[#This Row],[White Male Average Salary]],"")</f>
        <v/>
      </c>
      <c r="P70" s="15" t="str">
        <f>IFERROR(PayGapsForMalesInRacialEthnicGroupsByOccupationalSeries[[#This Row],[Hispanic Latino Male Employees]]/Q$318,"")</f>
        <v/>
      </c>
      <c r="Q70" s="16" t="s">
        <v>0</v>
      </c>
      <c r="R70" s="17" t="s">
        <v>0</v>
      </c>
      <c r="S7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70" s="15" t="str">
        <f>IFERROR(PayGapsForMalesInRacialEthnicGroupsByOccupationalSeries[[#This Row],[Other Male Employees]]/U$318,"")</f>
        <v/>
      </c>
      <c r="U70" s="16" t="s">
        <v>0</v>
      </c>
      <c r="V70" s="17" t="s">
        <v>0</v>
      </c>
      <c r="W7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71" spans="1:23" ht="15.6" x14ac:dyDescent="0.3">
      <c r="A71" s="4" t="s">
        <v>82</v>
      </c>
      <c r="B71" s="25">
        <v>240</v>
      </c>
      <c r="C71" s="26">
        <v>121345.0625</v>
      </c>
      <c r="D71" s="15" t="str">
        <f>IFERROR(PayGapsForMalesInRacialEthnicGroupsByOccupationalSeries[[#This Row],[AIAN Male Employees]]/E$318,"")</f>
        <v/>
      </c>
      <c r="E71" s="16" t="s">
        <v>0</v>
      </c>
      <c r="F71" s="17" t="s">
        <v>0</v>
      </c>
      <c r="G71" s="18" t="s">
        <v>0</v>
      </c>
      <c r="H71" s="15" t="str">
        <f>IFERROR(PayGapsForMalesInRacialEthnicGroupsByOccupationalSeries[[#This Row],[ANHPI Male Employees]]/I$318,"")</f>
        <v/>
      </c>
      <c r="I71" s="16" t="s">
        <v>0</v>
      </c>
      <c r="J71" s="17" t="s">
        <v>0</v>
      </c>
      <c r="K71" s="18" t="s">
        <v>0</v>
      </c>
      <c r="L71" s="15" t="str">
        <f>IFERROR(PayGapsForMalesInRacialEthnicGroupsByOccupationalSeries[[#This Row],[Black Male Employees]]/M$318,"")</f>
        <v/>
      </c>
      <c r="M71" s="16" t="s">
        <v>0</v>
      </c>
      <c r="N71" s="17" t="s">
        <v>0</v>
      </c>
      <c r="O71" s="18" t="str">
        <f>IFERROR(PayGapsForMalesInRacialEthnicGroupsByOccupationalSeries[[#This Row],[Black Male Avg Salary]]/PayGapsForMalesInRacialEthnicGroupsByOccupationalSeries[[#This Row],[White Male Average Salary]],"")</f>
        <v/>
      </c>
      <c r="P71" s="15" t="str">
        <f>IFERROR(PayGapsForMalesInRacialEthnicGroupsByOccupationalSeries[[#This Row],[Hispanic Latino Male Employees]]/Q$318,"")</f>
        <v/>
      </c>
      <c r="Q71" s="16" t="s">
        <v>0</v>
      </c>
      <c r="R71" s="17" t="s">
        <v>0</v>
      </c>
      <c r="S7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71" s="15" t="str">
        <f>IFERROR(PayGapsForMalesInRacialEthnicGroupsByOccupationalSeries[[#This Row],[Other Male Employees]]/U$318,"")</f>
        <v/>
      </c>
      <c r="U71" s="16" t="s">
        <v>0</v>
      </c>
      <c r="V71" s="17" t="s">
        <v>0</v>
      </c>
      <c r="W7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72" spans="1:23" ht="15.6" x14ac:dyDescent="0.3">
      <c r="A72" s="4" t="s">
        <v>83</v>
      </c>
      <c r="B72" s="25">
        <v>112</v>
      </c>
      <c r="C72" s="26">
        <v>143240.44642857101</v>
      </c>
      <c r="D72" s="15" t="str">
        <f>IFERROR(PayGapsForMalesInRacialEthnicGroupsByOccupationalSeries[[#This Row],[AIAN Male Employees]]/E$318,"")</f>
        <v/>
      </c>
      <c r="E72" s="16" t="s">
        <v>0</v>
      </c>
      <c r="F72" s="17" t="s">
        <v>0</v>
      </c>
      <c r="G72" s="18" t="s">
        <v>0</v>
      </c>
      <c r="H72" s="15" t="str">
        <f>IFERROR(PayGapsForMalesInRacialEthnicGroupsByOccupationalSeries[[#This Row],[ANHPI Male Employees]]/I$318,"")</f>
        <v/>
      </c>
      <c r="I72" s="16" t="s">
        <v>0</v>
      </c>
      <c r="J72" s="17" t="s">
        <v>0</v>
      </c>
      <c r="K72" s="18" t="s">
        <v>0</v>
      </c>
      <c r="L72" s="15" t="str">
        <f>IFERROR(PayGapsForMalesInRacialEthnicGroupsByOccupationalSeries[[#This Row],[Black Male Employees]]/M$318,"")</f>
        <v/>
      </c>
      <c r="M72" s="16" t="s">
        <v>0</v>
      </c>
      <c r="N72" s="17" t="s">
        <v>0</v>
      </c>
      <c r="O72" s="18" t="str">
        <f>IFERROR(PayGapsForMalesInRacialEthnicGroupsByOccupationalSeries[[#This Row],[Black Male Avg Salary]]/PayGapsForMalesInRacialEthnicGroupsByOccupationalSeries[[#This Row],[White Male Average Salary]],"")</f>
        <v/>
      </c>
      <c r="P72" s="15" t="str">
        <f>IFERROR(PayGapsForMalesInRacialEthnicGroupsByOccupationalSeries[[#This Row],[Hispanic Latino Male Employees]]/Q$318,"")</f>
        <v/>
      </c>
      <c r="Q72" s="16" t="s">
        <v>0</v>
      </c>
      <c r="R72" s="17" t="s">
        <v>0</v>
      </c>
      <c r="S7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72" s="15" t="str">
        <f>IFERROR(PayGapsForMalesInRacialEthnicGroupsByOccupationalSeries[[#This Row],[Other Male Employees]]/U$318,"")</f>
        <v/>
      </c>
      <c r="U72" s="16" t="s">
        <v>0</v>
      </c>
      <c r="V72" s="17" t="s">
        <v>0</v>
      </c>
      <c r="W7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73" spans="1:23" ht="15.6" x14ac:dyDescent="0.3">
      <c r="A73" s="4" t="s">
        <v>84</v>
      </c>
      <c r="B73" s="25">
        <v>106</v>
      </c>
      <c r="C73" s="26">
        <v>92996.358490565995</v>
      </c>
      <c r="D73" s="15" t="str">
        <f>IFERROR(PayGapsForMalesInRacialEthnicGroupsByOccupationalSeries[[#This Row],[AIAN Male Employees]]/E$318,"")</f>
        <v/>
      </c>
      <c r="E73" s="16" t="s">
        <v>0</v>
      </c>
      <c r="F73" s="17" t="s">
        <v>0</v>
      </c>
      <c r="G73" s="18" t="s">
        <v>0</v>
      </c>
      <c r="H73" s="15" t="str">
        <f>IFERROR(PayGapsForMalesInRacialEthnicGroupsByOccupationalSeries[[#This Row],[ANHPI Male Employees]]/I$318,"")</f>
        <v/>
      </c>
      <c r="I73" s="16" t="s">
        <v>0</v>
      </c>
      <c r="J73" s="17" t="s">
        <v>0</v>
      </c>
      <c r="K73" s="18" t="s">
        <v>0</v>
      </c>
      <c r="L73" s="15" t="str">
        <f>IFERROR(PayGapsForMalesInRacialEthnicGroupsByOccupationalSeries[[#This Row],[Black Male Employees]]/M$318,"")</f>
        <v/>
      </c>
      <c r="M73" s="16" t="s">
        <v>0</v>
      </c>
      <c r="N73" s="17" t="s">
        <v>0</v>
      </c>
      <c r="O73" s="18" t="str">
        <f>IFERROR(PayGapsForMalesInRacialEthnicGroupsByOccupationalSeries[[#This Row],[Black Male Avg Salary]]/PayGapsForMalesInRacialEthnicGroupsByOccupationalSeries[[#This Row],[White Male Average Salary]],"")</f>
        <v/>
      </c>
      <c r="P73" s="15" t="str">
        <f>IFERROR(PayGapsForMalesInRacialEthnicGroupsByOccupationalSeries[[#This Row],[Hispanic Latino Male Employees]]/Q$318,"")</f>
        <v/>
      </c>
      <c r="Q73" s="16" t="s">
        <v>0</v>
      </c>
      <c r="R73" s="17" t="s">
        <v>0</v>
      </c>
      <c r="S7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73" s="15" t="str">
        <f>IFERROR(PayGapsForMalesInRacialEthnicGroupsByOccupationalSeries[[#This Row],[Other Male Employees]]/U$318,"")</f>
        <v/>
      </c>
      <c r="U73" s="16" t="s">
        <v>0</v>
      </c>
      <c r="V73" s="17" t="s">
        <v>0</v>
      </c>
      <c r="W7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74" spans="1:23" ht="15.6" x14ac:dyDescent="0.3">
      <c r="A74" s="4" t="s">
        <v>85</v>
      </c>
      <c r="B74" s="25">
        <v>108</v>
      </c>
      <c r="C74" s="26">
        <v>128459.546296296</v>
      </c>
      <c r="D74" s="15" t="str">
        <f>IFERROR(PayGapsForMalesInRacialEthnicGroupsByOccupationalSeries[[#This Row],[AIAN Male Employees]]/E$318,"")</f>
        <v/>
      </c>
      <c r="E74" s="16" t="s">
        <v>0</v>
      </c>
      <c r="F74" s="17" t="s">
        <v>0</v>
      </c>
      <c r="G74" s="18" t="s">
        <v>0</v>
      </c>
      <c r="H74" s="15" t="str">
        <f>IFERROR(PayGapsForMalesInRacialEthnicGroupsByOccupationalSeries[[#This Row],[ANHPI Male Employees]]/I$318,"")</f>
        <v/>
      </c>
      <c r="I74" s="16" t="s">
        <v>0</v>
      </c>
      <c r="J74" s="17" t="s">
        <v>0</v>
      </c>
      <c r="K74" s="18" t="s">
        <v>0</v>
      </c>
      <c r="L74" s="15" t="str">
        <f>IFERROR(PayGapsForMalesInRacialEthnicGroupsByOccupationalSeries[[#This Row],[Black Male Employees]]/M$318,"")</f>
        <v/>
      </c>
      <c r="M74" s="16" t="s">
        <v>0</v>
      </c>
      <c r="N74" s="17" t="s">
        <v>0</v>
      </c>
      <c r="O74" s="18" t="str">
        <f>IFERROR(PayGapsForMalesInRacialEthnicGroupsByOccupationalSeries[[#This Row],[Black Male Avg Salary]]/PayGapsForMalesInRacialEthnicGroupsByOccupationalSeries[[#This Row],[White Male Average Salary]],"")</f>
        <v/>
      </c>
      <c r="P74" s="15" t="str">
        <f>IFERROR(PayGapsForMalesInRacialEthnicGroupsByOccupationalSeries[[#This Row],[Hispanic Latino Male Employees]]/Q$318,"")</f>
        <v/>
      </c>
      <c r="Q74" s="16" t="s">
        <v>0</v>
      </c>
      <c r="R74" s="17" t="s">
        <v>0</v>
      </c>
      <c r="S7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74" s="15" t="str">
        <f>IFERROR(PayGapsForMalesInRacialEthnicGroupsByOccupationalSeries[[#This Row],[Other Male Employees]]/U$318,"")</f>
        <v/>
      </c>
      <c r="U74" s="16" t="s">
        <v>0</v>
      </c>
      <c r="V74" s="17" t="s">
        <v>0</v>
      </c>
      <c r="W7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75" spans="1:23" ht="15.6" x14ac:dyDescent="0.3">
      <c r="A75" s="4" t="s">
        <v>86</v>
      </c>
      <c r="B75" s="25">
        <v>57</v>
      </c>
      <c r="C75" s="26">
        <v>99890.192982456007</v>
      </c>
      <c r="D75" s="15" t="str">
        <f>IFERROR(PayGapsForMalesInRacialEthnicGroupsByOccupationalSeries[[#This Row],[AIAN Male Employees]]/E$318,"")</f>
        <v/>
      </c>
      <c r="E75" s="16" t="s">
        <v>0</v>
      </c>
      <c r="F75" s="17" t="s">
        <v>0</v>
      </c>
      <c r="G75" s="18" t="s">
        <v>0</v>
      </c>
      <c r="H75" s="15" t="str">
        <f>IFERROR(PayGapsForMalesInRacialEthnicGroupsByOccupationalSeries[[#This Row],[ANHPI Male Employees]]/I$318,"")</f>
        <v/>
      </c>
      <c r="I75" s="16" t="s">
        <v>0</v>
      </c>
      <c r="J75" s="17" t="s">
        <v>0</v>
      </c>
      <c r="K75" s="18" t="s">
        <v>0</v>
      </c>
      <c r="L75" s="15" t="str">
        <f>IFERROR(PayGapsForMalesInRacialEthnicGroupsByOccupationalSeries[[#This Row],[Black Male Employees]]/M$318,"")</f>
        <v/>
      </c>
      <c r="M75" s="16" t="s">
        <v>0</v>
      </c>
      <c r="N75" s="17" t="s">
        <v>0</v>
      </c>
      <c r="O75" s="18" t="str">
        <f>IFERROR(PayGapsForMalesInRacialEthnicGroupsByOccupationalSeries[[#This Row],[Black Male Avg Salary]]/PayGapsForMalesInRacialEthnicGroupsByOccupationalSeries[[#This Row],[White Male Average Salary]],"")</f>
        <v/>
      </c>
      <c r="P75" s="15" t="str">
        <f>IFERROR(PayGapsForMalesInRacialEthnicGroupsByOccupationalSeries[[#This Row],[Hispanic Latino Male Employees]]/Q$318,"")</f>
        <v/>
      </c>
      <c r="Q75" s="16" t="s">
        <v>0</v>
      </c>
      <c r="R75" s="17" t="s">
        <v>0</v>
      </c>
      <c r="S7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75" s="15" t="str">
        <f>IFERROR(PayGapsForMalesInRacialEthnicGroupsByOccupationalSeries[[#This Row],[Other Male Employees]]/U$318,"")</f>
        <v/>
      </c>
      <c r="U75" s="16" t="s">
        <v>0</v>
      </c>
      <c r="V75" s="17" t="s">
        <v>0</v>
      </c>
      <c r="W7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76" spans="1:23" ht="15.6" x14ac:dyDescent="0.3">
      <c r="A76" s="4" t="s">
        <v>87</v>
      </c>
      <c r="B76" s="25">
        <v>183</v>
      </c>
      <c r="C76" s="26">
        <v>127192.021857923</v>
      </c>
      <c r="D76" s="15" t="str">
        <f>IFERROR(PayGapsForMalesInRacialEthnicGroupsByOccupationalSeries[[#This Row],[AIAN Male Employees]]/E$318,"")</f>
        <v/>
      </c>
      <c r="E76" s="16" t="s">
        <v>0</v>
      </c>
      <c r="F76" s="17" t="s">
        <v>0</v>
      </c>
      <c r="G76" s="18" t="s">
        <v>0</v>
      </c>
      <c r="H76" s="15" t="str">
        <f>IFERROR(PayGapsForMalesInRacialEthnicGroupsByOccupationalSeries[[#This Row],[ANHPI Male Employees]]/I$318,"")</f>
        <v/>
      </c>
      <c r="I76" s="16" t="s">
        <v>0</v>
      </c>
      <c r="J76" s="17" t="s">
        <v>0</v>
      </c>
      <c r="K76" s="18" t="s">
        <v>0</v>
      </c>
      <c r="L76" s="15" t="str">
        <f>IFERROR(PayGapsForMalesInRacialEthnicGroupsByOccupationalSeries[[#This Row],[Black Male Employees]]/M$318,"")</f>
        <v/>
      </c>
      <c r="M76" s="16" t="s">
        <v>0</v>
      </c>
      <c r="N76" s="17" t="s">
        <v>0</v>
      </c>
      <c r="O76" s="18" t="str">
        <f>IFERROR(PayGapsForMalesInRacialEthnicGroupsByOccupationalSeries[[#This Row],[Black Male Avg Salary]]/PayGapsForMalesInRacialEthnicGroupsByOccupationalSeries[[#This Row],[White Male Average Salary]],"")</f>
        <v/>
      </c>
      <c r="P76" s="15" t="str">
        <f>IFERROR(PayGapsForMalesInRacialEthnicGroupsByOccupationalSeries[[#This Row],[Hispanic Latino Male Employees]]/Q$318,"")</f>
        <v/>
      </c>
      <c r="Q76" s="16" t="s">
        <v>0</v>
      </c>
      <c r="R76" s="17" t="s">
        <v>0</v>
      </c>
      <c r="S7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76" s="15" t="str">
        <f>IFERROR(PayGapsForMalesInRacialEthnicGroupsByOccupationalSeries[[#This Row],[Other Male Employees]]/U$318,"")</f>
        <v/>
      </c>
      <c r="U76" s="16" t="s">
        <v>0</v>
      </c>
      <c r="V76" s="17" t="s">
        <v>0</v>
      </c>
      <c r="W7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77" spans="1:23" ht="15.6" x14ac:dyDescent="0.3">
      <c r="A77" s="4" t="s">
        <v>88</v>
      </c>
      <c r="B77" s="25">
        <v>493</v>
      </c>
      <c r="C77" s="26">
        <v>75998.377281947003</v>
      </c>
      <c r="D77" s="15" t="str">
        <f>IFERROR(PayGapsForMalesInRacialEthnicGroupsByOccupationalSeries[[#This Row],[AIAN Male Employees]]/E$318,"")</f>
        <v/>
      </c>
      <c r="E77" s="16" t="s">
        <v>0</v>
      </c>
      <c r="F77" s="17" t="s">
        <v>0</v>
      </c>
      <c r="G77" s="18" t="s">
        <v>0</v>
      </c>
      <c r="H77" s="15" t="str">
        <f>IFERROR(PayGapsForMalesInRacialEthnicGroupsByOccupationalSeries[[#This Row],[ANHPI Male Employees]]/I$318,"")</f>
        <v/>
      </c>
      <c r="I77" s="16" t="s">
        <v>0</v>
      </c>
      <c r="J77" s="17" t="s">
        <v>0</v>
      </c>
      <c r="K77" s="18" t="s">
        <v>0</v>
      </c>
      <c r="L77" s="15" t="str">
        <f>IFERROR(PayGapsForMalesInRacialEthnicGroupsByOccupationalSeries[[#This Row],[Black Male Employees]]/M$318,"")</f>
        <v/>
      </c>
      <c r="M77" s="16" t="s">
        <v>0</v>
      </c>
      <c r="N77" s="17" t="s">
        <v>0</v>
      </c>
      <c r="O77" s="18" t="str">
        <f>IFERROR(PayGapsForMalesInRacialEthnicGroupsByOccupationalSeries[[#This Row],[Black Male Avg Salary]]/PayGapsForMalesInRacialEthnicGroupsByOccupationalSeries[[#This Row],[White Male Average Salary]],"")</f>
        <v/>
      </c>
      <c r="P77" s="15" t="str">
        <f>IFERROR(PayGapsForMalesInRacialEthnicGroupsByOccupationalSeries[[#This Row],[Hispanic Latino Male Employees]]/Q$318,"")</f>
        <v/>
      </c>
      <c r="Q77" s="16" t="s">
        <v>0</v>
      </c>
      <c r="R77" s="17" t="s">
        <v>0</v>
      </c>
      <c r="S7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77" s="15" t="str">
        <f>IFERROR(PayGapsForMalesInRacialEthnicGroupsByOccupationalSeries[[#This Row],[Other Male Employees]]/U$318,"")</f>
        <v/>
      </c>
      <c r="U77" s="16" t="s">
        <v>0</v>
      </c>
      <c r="V77" s="17" t="s">
        <v>0</v>
      </c>
      <c r="W7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78" spans="1:23" ht="15.6" x14ac:dyDescent="0.3">
      <c r="A78" s="4" t="s">
        <v>89</v>
      </c>
      <c r="B78" s="25">
        <v>85</v>
      </c>
      <c r="C78" s="26">
        <v>56920.447058824</v>
      </c>
      <c r="D78" s="15" t="str">
        <f>IFERROR(PayGapsForMalesInRacialEthnicGroupsByOccupationalSeries[[#This Row],[AIAN Male Employees]]/E$318,"")</f>
        <v/>
      </c>
      <c r="E78" s="16" t="s">
        <v>0</v>
      </c>
      <c r="F78" s="17" t="s">
        <v>0</v>
      </c>
      <c r="G78" s="18" t="s">
        <v>0</v>
      </c>
      <c r="H78" s="15" t="str">
        <f>IFERROR(PayGapsForMalesInRacialEthnicGroupsByOccupationalSeries[[#This Row],[ANHPI Male Employees]]/I$318,"")</f>
        <v/>
      </c>
      <c r="I78" s="16" t="s">
        <v>0</v>
      </c>
      <c r="J78" s="17" t="s">
        <v>0</v>
      </c>
      <c r="K78" s="18" t="s">
        <v>0</v>
      </c>
      <c r="L78" s="15" t="str">
        <f>IFERROR(PayGapsForMalesInRacialEthnicGroupsByOccupationalSeries[[#This Row],[Black Male Employees]]/M$318,"")</f>
        <v/>
      </c>
      <c r="M78" s="16" t="s">
        <v>0</v>
      </c>
      <c r="N78" s="17" t="s">
        <v>0</v>
      </c>
      <c r="O78" s="18" t="str">
        <f>IFERROR(PayGapsForMalesInRacialEthnicGroupsByOccupationalSeries[[#This Row],[Black Male Avg Salary]]/PayGapsForMalesInRacialEthnicGroupsByOccupationalSeries[[#This Row],[White Male Average Salary]],"")</f>
        <v/>
      </c>
      <c r="P78" s="15" t="str">
        <f>IFERROR(PayGapsForMalesInRacialEthnicGroupsByOccupationalSeries[[#This Row],[Hispanic Latino Male Employees]]/Q$318,"")</f>
        <v/>
      </c>
      <c r="Q78" s="16" t="s">
        <v>0</v>
      </c>
      <c r="R78" s="17" t="s">
        <v>0</v>
      </c>
      <c r="S7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78" s="15" t="str">
        <f>IFERROR(PayGapsForMalesInRacialEthnicGroupsByOccupationalSeries[[#This Row],[Other Male Employees]]/U$318,"")</f>
        <v/>
      </c>
      <c r="U78" s="16" t="s">
        <v>0</v>
      </c>
      <c r="V78" s="17" t="s">
        <v>0</v>
      </c>
      <c r="W7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79" spans="1:23" ht="15.6" x14ac:dyDescent="0.3">
      <c r="A79" s="4" t="s">
        <v>90</v>
      </c>
      <c r="B79" s="25">
        <v>2311</v>
      </c>
      <c r="C79" s="26">
        <v>76917.506274340005</v>
      </c>
      <c r="D79" s="15" t="str">
        <f>IFERROR(PayGapsForMalesInRacialEthnicGroupsByOccupationalSeries[[#This Row],[AIAN Male Employees]]/E$318,"")</f>
        <v/>
      </c>
      <c r="E79" s="16" t="s">
        <v>0</v>
      </c>
      <c r="F79" s="17" t="s">
        <v>0</v>
      </c>
      <c r="G79" s="18" t="s">
        <v>0</v>
      </c>
      <c r="H79" s="15" t="str">
        <f>IFERROR(PayGapsForMalesInRacialEthnicGroupsByOccupationalSeries[[#This Row],[ANHPI Male Employees]]/I$318,"")</f>
        <v/>
      </c>
      <c r="I79" s="16" t="s">
        <v>0</v>
      </c>
      <c r="J79" s="17" t="s">
        <v>0</v>
      </c>
      <c r="K79" s="18" t="s">
        <v>0</v>
      </c>
      <c r="L79" s="15">
        <f>IFERROR(PayGapsForMalesInRacialEthnicGroupsByOccupationalSeries[[#This Row],[Black Male Employees]]/M$318,"")</f>
        <v>1.6318041834979802E-3</v>
      </c>
      <c r="M79" s="16">
        <v>204</v>
      </c>
      <c r="N79" s="17">
        <v>82095.700980391994</v>
      </c>
      <c r="O79" s="18">
        <f>IFERROR(PayGapsForMalesInRacialEthnicGroupsByOccupationalSeries[[#This Row],[Black Male Avg Salary]]/PayGapsForMalesInRacialEthnicGroupsByOccupationalSeries[[#This Row],[White Male Average Salary]],"")</f>
        <v>1.0673214064894803</v>
      </c>
      <c r="P79" s="15">
        <f>IFERROR(PayGapsForMalesInRacialEthnicGroupsByOccupationalSeries[[#This Row],[Hispanic Latino Male Employees]]/Q$318,"")</f>
        <v>1.7787625910980556E-3</v>
      </c>
      <c r="Q79" s="16">
        <v>175</v>
      </c>
      <c r="R79" s="17">
        <v>77147.154285714001</v>
      </c>
      <c r="S79" s="18">
        <f>IFERROR(PayGapsForMalesInRacialEthnicGroupsByOccupationalSeries[[#This Row],[Hispanic Latino Male Avg Salary]]/PayGapsForMalesInRacialEthnicGroupsByOccupationalSeries[[#This Row],[White Male Average Salary]],"")</f>
        <v>1.0029856403632602</v>
      </c>
      <c r="T79" s="15">
        <f>IFERROR(PayGapsForMalesInRacialEthnicGroupsByOccupationalSeries[[#This Row],[Other Male Employees]]/U$318,"")</f>
        <v>2.9414800288987512E-3</v>
      </c>
      <c r="U79" s="16">
        <v>57</v>
      </c>
      <c r="V79" s="17">
        <v>75260.333333332994</v>
      </c>
      <c r="W79" s="18">
        <f>IFERROR(PayGapsForMalesInRacialEthnicGroupsByOccupationalSeries[[#This Row],[Other Male Avg Salary]]/PayGapsForMalesInRacialEthnicGroupsByOccupationalSeries[[#This Row],[White Male Average Salary]],"")</f>
        <v>0.97845519152562732</v>
      </c>
    </row>
    <row r="80" spans="1:23" ht="15.6" x14ac:dyDescent="0.3">
      <c r="A80" s="4" t="s">
        <v>91</v>
      </c>
      <c r="B80" s="25">
        <v>566</v>
      </c>
      <c r="C80" s="26">
        <v>50735.379858656997</v>
      </c>
      <c r="D80" s="15" t="str">
        <f>IFERROR(PayGapsForMalesInRacialEthnicGroupsByOccupationalSeries[[#This Row],[AIAN Male Employees]]/E$318,"")</f>
        <v/>
      </c>
      <c r="E80" s="16" t="s">
        <v>0</v>
      </c>
      <c r="F80" s="17" t="s">
        <v>0</v>
      </c>
      <c r="G80" s="18" t="s">
        <v>0</v>
      </c>
      <c r="H80" s="15" t="str">
        <f>IFERROR(PayGapsForMalesInRacialEthnicGroupsByOccupationalSeries[[#This Row],[ANHPI Male Employees]]/I$318,"")</f>
        <v/>
      </c>
      <c r="I80" s="16" t="s">
        <v>0</v>
      </c>
      <c r="J80" s="17" t="s">
        <v>0</v>
      </c>
      <c r="K80" s="18" t="s">
        <v>0</v>
      </c>
      <c r="L80" s="15" t="str">
        <f>IFERROR(PayGapsForMalesInRacialEthnicGroupsByOccupationalSeries[[#This Row],[Black Male Employees]]/M$318,"")</f>
        <v/>
      </c>
      <c r="M80" s="16" t="s">
        <v>0</v>
      </c>
      <c r="N80" s="17" t="s">
        <v>0</v>
      </c>
      <c r="O80" s="18" t="str">
        <f>IFERROR(PayGapsForMalesInRacialEthnicGroupsByOccupationalSeries[[#This Row],[Black Male Avg Salary]]/PayGapsForMalesInRacialEthnicGroupsByOccupationalSeries[[#This Row],[White Male Average Salary]],"")</f>
        <v/>
      </c>
      <c r="P80" s="15" t="str">
        <f>IFERROR(PayGapsForMalesInRacialEthnicGroupsByOccupationalSeries[[#This Row],[Hispanic Latino Male Employees]]/Q$318,"")</f>
        <v/>
      </c>
      <c r="Q80" s="16" t="s">
        <v>0</v>
      </c>
      <c r="R80" s="17" t="s">
        <v>0</v>
      </c>
      <c r="S8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80" s="15" t="str">
        <f>IFERROR(PayGapsForMalesInRacialEthnicGroupsByOccupationalSeries[[#This Row],[Other Male Employees]]/U$318,"")</f>
        <v/>
      </c>
      <c r="U80" s="16" t="s">
        <v>0</v>
      </c>
      <c r="V80" s="17" t="s">
        <v>0</v>
      </c>
      <c r="W8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81" spans="1:23" ht="15.6" x14ac:dyDescent="0.3">
      <c r="A81" s="4" t="s">
        <v>92</v>
      </c>
      <c r="B81" s="25">
        <v>1156</v>
      </c>
      <c r="C81" s="26">
        <v>79782.450216450001</v>
      </c>
      <c r="D81" s="15" t="str">
        <f>IFERROR(PayGapsForMalesInRacialEthnicGroupsByOccupationalSeries[[#This Row],[AIAN Male Employees]]/E$318,"")</f>
        <v/>
      </c>
      <c r="E81" s="16" t="s">
        <v>0</v>
      </c>
      <c r="F81" s="17" t="s">
        <v>0</v>
      </c>
      <c r="G81" s="18" t="s">
        <v>0</v>
      </c>
      <c r="H81" s="15" t="str">
        <f>IFERROR(PayGapsForMalesInRacialEthnicGroupsByOccupationalSeries[[#This Row],[ANHPI Male Employees]]/I$318,"")</f>
        <v/>
      </c>
      <c r="I81" s="16" t="s">
        <v>0</v>
      </c>
      <c r="J81" s="17" t="s">
        <v>0</v>
      </c>
      <c r="K81" s="18" t="s">
        <v>0</v>
      </c>
      <c r="L81" s="15" t="str">
        <f>IFERROR(PayGapsForMalesInRacialEthnicGroupsByOccupationalSeries[[#This Row],[Black Male Employees]]/M$318,"")</f>
        <v/>
      </c>
      <c r="M81" s="16" t="s">
        <v>0</v>
      </c>
      <c r="N81" s="17" t="s">
        <v>0</v>
      </c>
      <c r="O81" s="18" t="str">
        <f>IFERROR(PayGapsForMalesInRacialEthnicGroupsByOccupationalSeries[[#This Row],[Black Male Avg Salary]]/PayGapsForMalesInRacialEthnicGroupsByOccupationalSeries[[#This Row],[White Male Average Salary]],"")</f>
        <v/>
      </c>
      <c r="P81" s="15" t="str">
        <f>IFERROR(PayGapsForMalesInRacialEthnicGroupsByOccupationalSeries[[#This Row],[Hispanic Latino Male Employees]]/Q$318,"")</f>
        <v/>
      </c>
      <c r="Q81" s="16" t="s">
        <v>0</v>
      </c>
      <c r="R81" s="17" t="s">
        <v>0</v>
      </c>
      <c r="S8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81" s="15" t="str">
        <f>IFERROR(PayGapsForMalesInRacialEthnicGroupsByOccupationalSeries[[#This Row],[Other Male Employees]]/U$318,"")</f>
        <v/>
      </c>
      <c r="U81" s="16" t="s">
        <v>0</v>
      </c>
      <c r="V81" s="17" t="s">
        <v>0</v>
      </c>
      <c r="W8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82" spans="1:23" ht="15.6" x14ac:dyDescent="0.3">
      <c r="A82" s="4" t="s">
        <v>93</v>
      </c>
      <c r="B82" s="25">
        <v>4297</v>
      </c>
      <c r="C82" s="26">
        <v>55739.489054495003</v>
      </c>
      <c r="D82" s="15">
        <f>IFERROR(PayGapsForMalesInRacialEthnicGroupsByOccupationalSeries[[#This Row],[AIAN Male Employees]]/E$318,"")</f>
        <v>2.9837067209775966E-2</v>
      </c>
      <c r="E82" s="16">
        <v>293</v>
      </c>
      <c r="F82" s="17">
        <v>56093.262798634998</v>
      </c>
      <c r="G82" s="18">
        <f>PayGapsForMalesInRacialEthnicGroupsByOccupationalSeries[[#This Row],[AIAN Male Avg Salary]]/PayGapsForMalesInRacialEthnicGroupsByOccupationalSeries[[#This Row],[White Male Average Salary]]</f>
        <v>1.0063469140126871</v>
      </c>
      <c r="H82" s="15" t="str">
        <f>IFERROR(PayGapsForMalesInRacialEthnicGroupsByOccupationalSeries[[#This Row],[ANHPI Male Employees]]/I$318,"")</f>
        <v/>
      </c>
      <c r="I82" s="16" t="s">
        <v>0</v>
      </c>
      <c r="J82" s="17" t="s">
        <v>0</v>
      </c>
      <c r="K82" s="18" t="s">
        <v>0</v>
      </c>
      <c r="L82" s="15">
        <f>IFERROR(PayGapsForMalesInRacialEthnicGroupsByOccupationalSeries[[#This Row],[Black Male Employees]]/M$318,"")</f>
        <v>9.5188577370715517E-4</v>
      </c>
      <c r="M82" s="16">
        <v>119</v>
      </c>
      <c r="N82" s="17">
        <v>54452.579831932999</v>
      </c>
      <c r="O82" s="18">
        <f>IFERROR(PayGapsForMalesInRacialEthnicGroupsByOccupationalSeries[[#This Row],[Black Male Avg Salary]]/PayGapsForMalesInRacialEthnicGroupsByOccupationalSeries[[#This Row],[White Male Average Salary]],"")</f>
        <v>0.97691207356953291</v>
      </c>
      <c r="P82" s="15">
        <f>IFERROR(PayGapsForMalesInRacialEthnicGroupsByOccupationalSeries[[#This Row],[Hispanic Latino Male Employees]]/Q$318,"")</f>
        <v>1.0062714086783286E-2</v>
      </c>
      <c r="Q82" s="16">
        <v>990</v>
      </c>
      <c r="R82" s="17">
        <v>51505.953535353998</v>
      </c>
      <c r="S82" s="18">
        <f>IFERROR(PayGapsForMalesInRacialEthnicGroupsByOccupationalSeries[[#This Row],[Hispanic Latino Male Avg Salary]]/PayGapsForMalesInRacialEthnicGroupsByOccupationalSeries[[#This Row],[White Male Average Salary]],"")</f>
        <v>0.92404782334832691</v>
      </c>
      <c r="T82" s="15">
        <f>IFERROR(PayGapsForMalesInRacialEthnicGroupsByOccupationalSeries[[#This Row],[Other Male Employees]]/U$318,"")</f>
        <v>1.0785426772628755E-2</v>
      </c>
      <c r="U82" s="16">
        <v>209</v>
      </c>
      <c r="V82" s="17">
        <v>51886.421052632002</v>
      </c>
      <c r="W82" s="18">
        <f>IFERROR(PayGapsForMalesInRacialEthnicGroupsByOccupationalSeries[[#This Row],[Other Male Avg Salary]]/PayGapsForMalesInRacialEthnicGroupsByOccupationalSeries[[#This Row],[White Male Average Salary]],"")</f>
        <v>0.93087363972612025</v>
      </c>
    </row>
    <row r="83" spans="1:23" ht="15.6" x14ac:dyDescent="0.3">
      <c r="A83" s="4" t="s">
        <v>94</v>
      </c>
      <c r="B83" s="25">
        <v>434</v>
      </c>
      <c r="C83" s="26">
        <v>99101.154377879997</v>
      </c>
      <c r="D83" s="15" t="str">
        <f>IFERROR(PayGapsForMalesInRacialEthnicGroupsByOccupationalSeries[[#This Row],[AIAN Male Employees]]/E$318,"")</f>
        <v/>
      </c>
      <c r="E83" s="16" t="s">
        <v>0</v>
      </c>
      <c r="F83" s="17" t="s">
        <v>0</v>
      </c>
      <c r="G83" s="18" t="s">
        <v>0</v>
      </c>
      <c r="H83" s="15" t="str">
        <f>IFERROR(PayGapsForMalesInRacialEthnicGroupsByOccupationalSeries[[#This Row],[ANHPI Male Employees]]/I$318,"")</f>
        <v/>
      </c>
      <c r="I83" s="16" t="s">
        <v>0</v>
      </c>
      <c r="J83" s="17" t="s">
        <v>0</v>
      </c>
      <c r="K83" s="18" t="s">
        <v>0</v>
      </c>
      <c r="L83" s="15" t="str">
        <f>IFERROR(PayGapsForMalesInRacialEthnicGroupsByOccupationalSeries[[#This Row],[Black Male Employees]]/M$318,"")</f>
        <v/>
      </c>
      <c r="M83" s="16" t="s">
        <v>0</v>
      </c>
      <c r="N83" s="17" t="s">
        <v>0</v>
      </c>
      <c r="O83" s="18" t="str">
        <f>IFERROR(PayGapsForMalesInRacialEthnicGroupsByOccupationalSeries[[#This Row],[Black Male Avg Salary]]/PayGapsForMalesInRacialEthnicGroupsByOccupationalSeries[[#This Row],[White Male Average Salary]],"")</f>
        <v/>
      </c>
      <c r="P83" s="15" t="str">
        <f>IFERROR(PayGapsForMalesInRacialEthnicGroupsByOccupationalSeries[[#This Row],[Hispanic Latino Male Employees]]/Q$318,"")</f>
        <v/>
      </c>
      <c r="Q83" s="16" t="s">
        <v>0</v>
      </c>
      <c r="R83" s="17" t="s">
        <v>0</v>
      </c>
      <c r="S8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83" s="15" t="str">
        <f>IFERROR(PayGapsForMalesInRacialEthnicGroupsByOccupationalSeries[[#This Row],[Other Male Employees]]/U$318,"")</f>
        <v/>
      </c>
      <c r="U83" s="16" t="s">
        <v>0</v>
      </c>
      <c r="V83" s="17" t="s">
        <v>0</v>
      </c>
      <c r="W8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84" spans="1:23" ht="15.6" x14ac:dyDescent="0.3">
      <c r="A84" s="4" t="s">
        <v>95</v>
      </c>
      <c r="B84" s="25">
        <v>122</v>
      </c>
      <c r="C84" s="26">
        <v>102766.081967213</v>
      </c>
      <c r="D84" s="15" t="str">
        <f>IFERROR(PayGapsForMalesInRacialEthnicGroupsByOccupationalSeries[[#This Row],[AIAN Male Employees]]/E$318,"")</f>
        <v/>
      </c>
      <c r="E84" s="16" t="s">
        <v>0</v>
      </c>
      <c r="F84" s="17" t="s">
        <v>0</v>
      </c>
      <c r="G84" s="18" t="s">
        <v>0</v>
      </c>
      <c r="H84" s="15" t="str">
        <f>IFERROR(PayGapsForMalesInRacialEthnicGroupsByOccupationalSeries[[#This Row],[ANHPI Male Employees]]/I$318,"")</f>
        <v/>
      </c>
      <c r="I84" s="16" t="s">
        <v>0</v>
      </c>
      <c r="J84" s="17" t="s">
        <v>0</v>
      </c>
      <c r="K84" s="18" t="s">
        <v>0</v>
      </c>
      <c r="L84" s="15" t="str">
        <f>IFERROR(PayGapsForMalesInRacialEthnicGroupsByOccupationalSeries[[#This Row],[Black Male Employees]]/M$318,"")</f>
        <v/>
      </c>
      <c r="M84" s="16" t="s">
        <v>0</v>
      </c>
      <c r="N84" s="17" t="s">
        <v>0</v>
      </c>
      <c r="O84" s="18" t="str">
        <f>IFERROR(PayGapsForMalesInRacialEthnicGroupsByOccupationalSeries[[#This Row],[Black Male Avg Salary]]/PayGapsForMalesInRacialEthnicGroupsByOccupationalSeries[[#This Row],[White Male Average Salary]],"")</f>
        <v/>
      </c>
      <c r="P84" s="15" t="str">
        <f>IFERROR(PayGapsForMalesInRacialEthnicGroupsByOccupationalSeries[[#This Row],[Hispanic Latino Male Employees]]/Q$318,"")</f>
        <v/>
      </c>
      <c r="Q84" s="16" t="s">
        <v>0</v>
      </c>
      <c r="R84" s="17" t="s">
        <v>0</v>
      </c>
      <c r="S8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84" s="15" t="str">
        <f>IFERROR(PayGapsForMalesInRacialEthnicGroupsByOccupationalSeries[[#This Row],[Other Male Employees]]/U$318,"")</f>
        <v/>
      </c>
      <c r="U84" s="16" t="s">
        <v>0</v>
      </c>
      <c r="V84" s="17" t="s">
        <v>0</v>
      </c>
      <c r="W8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85" spans="1:23" ht="15.6" x14ac:dyDescent="0.3">
      <c r="A85" s="4" t="s">
        <v>96</v>
      </c>
      <c r="B85" s="25">
        <v>214</v>
      </c>
      <c r="C85" s="26">
        <v>145056.90654205601</v>
      </c>
      <c r="D85" s="15" t="str">
        <f>IFERROR(PayGapsForMalesInRacialEthnicGroupsByOccupationalSeries[[#This Row],[AIAN Male Employees]]/E$318,"")</f>
        <v/>
      </c>
      <c r="E85" s="16" t="s">
        <v>0</v>
      </c>
      <c r="F85" s="17" t="s">
        <v>0</v>
      </c>
      <c r="G85" s="18" t="s">
        <v>0</v>
      </c>
      <c r="H85" s="15" t="str">
        <f>IFERROR(PayGapsForMalesInRacialEthnicGroupsByOccupationalSeries[[#This Row],[ANHPI Male Employees]]/I$318,"")</f>
        <v/>
      </c>
      <c r="I85" s="16" t="s">
        <v>0</v>
      </c>
      <c r="J85" s="17" t="s">
        <v>0</v>
      </c>
      <c r="K85" s="18" t="s">
        <v>0</v>
      </c>
      <c r="L85" s="15" t="str">
        <f>IFERROR(PayGapsForMalesInRacialEthnicGroupsByOccupationalSeries[[#This Row],[Black Male Employees]]/M$318,"")</f>
        <v/>
      </c>
      <c r="M85" s="16" t="s">
        <v>0</v>
      </c>
      <c r="N85" s="17" t="s">
        <v>0</v>
      </c>
      <c r="O85" s="18" t="str">
        <f>IFERROR(PayGapsForMalesInRacialEthnicGroupsByOccupationalSeries[[#This Row],[Black Male Avg Salary]]/PayGapsForMalesInRacialEthnicGroupsByOccupationalSeries[[#This Row],[White Male Average Salary]],"")</f>
        <v/>
      </c>
      <c r="P85" s="15" t="str">
        <f>IFERROR(PayGapsForMalesInRacialEthnicGroupsByOccupationalSeries[[#This Row],[Hispanic Latino Male Employees]]/Q$318,"")</f>
        <v/>
      </c>
      <c r="Q85" s="16" t="s">
        <v>0</v>
      </c>
      <c r="R85" s="17" t="s">
        <v>0</v>
      </c>
      <c r="S8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85" s="15" t="str">
        <f>IFERROR(PayGapsForMalesInRacialEthnicGroupsByOccupationalSeries[[#This Row],[Other Male Employees]]/U$318,"")</f>
        <v/>
      </c>
      <c r="U85" s="16" t="s">
        <v>0</v>
      </c>
      <c r="V85" s="17" t="s">
        <v>0</v>
      </c>
      <c r="W8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86" spans="1:23" ht="15.6" x14ac:dyDescent="0.3">
      <c r="A86" s="4" t="s">
        <v>97</v>
      </c>
      <c r="B86" s="25">
        <v>1156</v>
      </c>
      <c r="C86" s="26">
        <v>104988.759515571</v>
      </c>
      <c r="D86" s="15" t="str">
        <f>IFERROR(PayGapsForMalesInRacialEthnicGroupsByOccupationalSeries[[#This Row],[AIAN Male Employees]]/E$318,"")</f>
        <v/>
      </c>
      <c r="E86" s="16" t="s">
        <v>0</v>
      </c>
      <c r="F86" s="17" t="s">
        <v>0</v>
      </c>
      <c r="G86" s="18" t="s">
        <v>0</v>
      </c>
      <c r="H86" s="15" t="str">
        <f>IFERROR(PayGapsForMalesInRacialEthnicGroupsByOccupationalSeries[[#This Row],[ANHPI Male Employees]]/I$318,"")</f>
        <v/>
      </c>
      <c r="I86" s="16" t="s">
        <v>0</v>
      </c>
      <c r="J86" s="17" t="s">
        <v>0</v>
      </c>
      <c r="K86" s="18" t="s">
        <v>0</v>
      </c>
      <c r="L86" s="15" t="str">
        <f>IFERROR(PayGapsForMalesInRacialEthnicGroupsByOccupationalSeries[[#This Row],[Black Male Employees]]/M$318,"")</f>
        <v/>
      </c>
      <c r="M86" s="16" t="s">
        <v>0</v>
      </c>
      <c r="N86" s="17" t="s">
        <v>0</v>
      </c>
      <c r="O86" s="18" t="str">
        <f>IFERROR(PayGapsForMalesInRacialEthnicGroupsByOccupationalSeries[[#This Row],[Black Male Avg Salary]]/PayGapsForMalesInRacialEthnicGroupsByOccupationalSeries[[#This Row],[White Male Average Salary]],"")</f>
        <v/>
      </c>
      <c r="P86" s="15" t="str">
        <f>IFERROR(PayGapsForMalesInRacialEthnicGroupsByOccupationalSeries[[#This Row],[Hispanic Latino Male Employees]]/Q$318,"")</f>
        <v/>
      </c>
      <c r="Q86" s="16" t="s">
        <v>0</v>
      </c>
      <c r="R86" s="17" t="s">
        <v>0</v>
      </c>
      <c r="S8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86" s="15" t="str">
        <f>IFERROR(PayGapsForMalesInRacialEthnicGroupsByOccupationalSeries[[#This Row],[Other Male Employees]]/U$318,"")</f>
        <v/>
      </c>
      <c r="U86" s="16" t="s">
        <v>0</v>
      </c>
      <c r="V86" s="17" t="s">
        <v>0</v>
      </c>
      <c r="W8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87" spans="1:23" ht="15.6" x14ac:dyDescent="0.3">
      <c r="A87" s="4" t="s">
        <v>98</v>
      </c>
      <c r="B87" s="25">
        <v>296</v>
      </c>
      <c r="C87" s="26">
        <v>103063.016891892</v>
      </c>
      <c r="D87" s="15" t="str">
        <f>IFERROR(PayGapsForMalesInRacialEthnicGroupsByOccupationalSeries[[#This Row],[AIAN Male Employees]]/E$318,"")</f>
        <v/>
      </c>
      <c r="E87" s="16" t="s">
        <v>0</v>
      </c>
      <c r="F87" s="17" t="s">
        <v>0</v>
      </c>
      <c r="G87" s="18" t="s">
        <v>0</v>
      </c>
      <c r="H87" s="15" t="str">
        <f>IFERROR(PayGapsForMalesInRacialEthnicGroupsByOccupationalSeries[[#This Row],[ANHPI Male Employees]]/I$318,"")</f>
        <v/>
      </c>
      <c r="I87" s="16" t="s">
        <v>0</v>
      </c>
      <c r="J87" s="17" t="s">
        <v>0</v>
      </c>
      <c r="K87" s="18" t="s">
        <v>0</v>
      </c>
      <c r="L87" s="15" t="str">
        <f>IFERROR(PayGapsForMalesInRacialEthnicGroupsByOccupationalSeries[[#This Row],[Black Male Employees]]/M$318,"")</f>
        <v/>
      </c>
      <c r="M87" s="16" t="s">
        <v>0</v>
      </c>
      <c r="N87" s="17" t="s">
        <v>0</v>
      </c>
      <c r="O87" s="18" t="str">
        <f>IFERROR(PayGapsForMalesInRacialEthnicGroupsByOccupationalSeries[[#This Row],[Black Male Avg Salary]]/PayGapsForMalesInRacialEthnicGroupsByOccupationalSeries[[#This Row],[White Male Average Salary]],"")</f>
        <v/>
      </c>
      <c r="P87" s="15" t="str">
        <f>IFERROR(PayGapsForMalesInRacialEthnicGroupsByOccupationalSeries[[#This Row],[Hispanic Latino Male Employees]]/Q$318,"")</f>
        <v/>
      </c>
      <c r="Q87" s="16" t="s">
        <v>0</v>
      </c>
      <c r="R87" s="17" t="s">
        <v>0</v>
      </c>
      <c r="S8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87" s="15" t="str">
        <f>IFERROR(PayGapsForMalesInRacialEthnicGroupsByOccupationalSeries[[#This Row],[Other Male Employees]]/U$318,"")</f>
        <v/>
      </c>
      <c r="U87" s="16" t="s">
        <v>0</v>
      </c>
      <c r="V87" s="17" t="s">
        <v>0</v>
      </c>
      <c r="W8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88" spans="1:23" ht="15.6" x14ac:dyDescent="0.3">
      <c r="A88" s="4" t="s">
        <v>99</v>
      </c>
      <c r="B88" s="25">
        <v>1128</v>
      </c>
      <c r="C88" s="26">
        <v>91186.644503546006</v>
      </c>
      <c r="D88" s="15" t="str">
        <f>IFERROR(PayGapsForMalesInRacialEthnicGroupsByOccupationalSeries[[#This Row],[AIAN Male Employees]]/E$318,"")</f>
        <v/>
      </c>
      <c r="E88" s="16" t="s">
        <v>0</v>
      </c>
      <c r="F88" s="17" t="s">
        <v>0</v>
      </c>
      <c r="G88" s="18" t="s">
        <v>0</v>
      </c>
      <c r="H88" s="15" t="str">
        <f>IFERROR(PayGapsForMalesInRacialEthnicGroupsByOccupationalSeries[[#This Row],[ANHPI Male Employees]]/I$318,"")</f>
        <v/>
      </c>
      <c r="I88" s="16" t="s">
        <v>0</v>
      </c>
      <c r="J88" s="17" t="s">
        <v>0</v>
      </c>
      <c r="K88" s="18" t="s">
        <v>0</v>
      </c>
      <c r="L88" s="15" t="str">
        <f>IFERROR(PayGapsForMalesInRacialEthnicGroupsByOccupationalSeries[[#This Row],[Black Male Employees]]/M$318,"")</f>
        <v/>
      </c>
      <c r="M88" s="16" t="s">
        <v>0</v>
      </c>
      <c r="N88" s="17" t="s">
        <v>0</v>
      </c>
      <c r="O88" s="18" t="str">
        <f>IFERROR(PayGapsForMalesInRacialEthnicGroupsByOccupationalSeries[[#This Row],[Black Male Avg Salary]]/PayGapsForMalesInRacialEthnicGroupsByOccupationalSeries[[#This Row],[White Male Average Salary]],"")</f>
        <v/>
      </c>
      <c r="P88" s="15">
        <f>IFERROR(PayGapsForMalesInRacialEthnicGroupsByOccupationalSeries[[#This Row],[Hispanic Latino Male Employees]]/Q$318,"")</f>
        <v>7.7249118241972693E-4</v>
      </c>
      <c r="Q88" s="16">
        <v>76</v>
      </c>
      <c r="R88" s="17">
        <v>85850.394736842005</v>
      </c>
      <c r="S88" s="18">
        <f>IFERROR(PayGapsForMalesInRacialEthnicGroupsByOccupationalSeries[[#This Row],[Hispanic Latino Male Avg Salary]]/PayGapsForMalesInRacialEthnicGroupsByOccupationalSeries[[#This Row],[White Male Average Salary]],"")</f>
        <v>0.9414799196115119</v>
      </c>
      <c r="T88" s="15" t="str">
        <f>IFERROR(PayGapsForMalesInRacialEthnicGroupsByOccupationalSeries[[#This Row],[Other Male Employees]]/U$318,"")</f>
        <v/>
      </c>
      <c r="U88" s="16" t="s">
        <v>0</v>
      </c>
      <c r="V88" s="17" t="s">
        <v>0</v>
      </c>
      <c r="W8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89" spans="1:23" ht="31.2" x14ac:dyDescent="0.3">
      <c r="A89" s="4" t="s">
        <v>325</v>
      </c>
      <c r="B89" s="25">
        <v>41</v>
      </c>
      <c r="C89" s="26">
        <v>34864.85</v>
      </c>
      <c r="D89" s="15" t="str">
        <f>IFERROR(PayGapsForMalesInRacialEthnicGroupsByOccupationalSeries[[#This Row],[AIAN Male Employees]]/E$318,"")</f>
        <v/>
      </c>
      <c r="E89" s="16" t="s">
        <v>0</v>
      </c>
      <c r="F89" s="17" t="s">
        <v>0</v>
      </c>
      <c r="G89" s="18"/>
      <c r="H89" s="15" t="str">
        <f>IFERROR(PayGapsForMalesInRacialEthnicGroupsByOccupationalSeries[[#This Row],[ANHPI Male Employees]]/I$318,"")</f>
        <v/>
      </c>
      <c r="I89" s="16" t="s">
        <v>0</v>
      </c>
      <c r="J89" s="17" t="s">
        <v>0</v>
      </c>
      <c r="K89" s="18"/>
      <c r="L89" s="15" t="str">
        <f>IFERROR(PayGapsForMalesInRacialEthnicGroupsByOccupationalSeries[[#This Row],[Black Male Employees]]/M$318,"")</f>
        <v/>
      </c>
      <c r="M89" s="16" t="s">
        <v>0</v>
      </c>
      <c r="N89" s="17" t="s">
        <v>0</v>
      </c>
      <c r="O89" s="18" t="str">
        <f>IFERROR(PayGapsForMalesInRacialEthnicGroupsByOccupationalSeries[[#This Row],[Black Male Avg Salary]]/PayGapsForMalesInRacialEthnicGroupsByOccupationalSeries[[#This Row],[White Male Average Salary]],"")</f>
        <v/>
      </c>
      <c r="P89" s="15" t="str">
        <f>IFERROR(PayGapsForMalesInRacialEthnicGroupsByOccupationalSeries[[#This Row],[Hispanic Latino Male Employees]]/Q$318,"")</f>
        <v/>
      </c>
      <c r="Q89" s="16" t="s">
        <v>0</v>
      </c>
      <c r="R89" s="17" t="s">
        <v>0</v>
      </c>
      <c r="S8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89" s="15" t="str">
        <f>IFERROR(PayGapsForMalesInRacialEthnicGroupsByOccupationalSeries[[#This Row],[Other Male Employees]]/U$318,"")</f>
        <v/>
      </c>
      <c r="U89" s="16" t="s">
        <v>0</v>
      </c>
      <c r="V89" s="17" t="s">
        <v>0</v>
      </c>
      <c r="W8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90" spans="1:23" ht="31.2" x14ac:dyDescent="0.3">
      <c r="A90" s="4" t="s">
        <v>100</v>
      </c>
      <c r="B90" s="25">
        <v>6571</v>
      </c>
      <c r="C90" s="26">
        <v>105485.91835491201</v>
      </c>
      <c r="D90" s="15">
        <f>IFERROR(PayGapsForMalesInRacialEthnicGroupsByOccupationalSeries[[#This Row],[AIAN Male Employees]]/E$318,"")</f>
        <v>8.1466395112016286E-3</v>
      </c>
      <c r="E90" s="16">
        <v>80</v>
      </c>
      <c r="F90" s="17">
        <v>98216.137499999997</v>
      </c>
      <c r="G90" s="18">
        <f>PayGapsForMalesInRacialEthnicGroupsByOccupationalSeries[[#This Row],[AIAN Male Avg Salary]]/PayGapsForMalesInRacialEthnicGroupsByOccupationalSeries[[#This Row],[White Male Average Salary]]</f>
        <v>0.93108292587023311</v>
      </c>
      <c r="H90" s="15">
        <f>IFERROR(PayGapsForMalesInRacialEthnicGroupsByOccupationalSeries[[#This Row],[ANHPI Male Employees]]/I$318,"")</f>
        <v>1.1340237403100775E-2</v>
      </c>
      <c r="I90" s="16">
        <v>749</v>
      </c>
      <c r="J90" s="17">
        <v>102816.16822429901</v>
      </c>
      <c r="K90" s="18">
        <f>PayGapsForMalesInRacialEthnicGroupsByOccupationalSeries[[#This Row],[ANHPI Male Avg Salary]]/PayGapsForMalesInRacialEthnicGroupsByOccupationalSeries[[#This Row],[White Male Average Salary]]</f>
        <v>0.97469093342269142</v>
      </c>
      <c r="L90" s="15">
        <f>IFERROR(PayGapsForMalesInRacialEthnicGroupsByOccupationalSeries[[#This Row],[Black Male Employees]]/M$318,"")</f>
        <v>1.5302163740351158E-2</v>
      </c>
      <c r="M90" s="16">
        <v>1913</v>
      </c>
      <c r="N90" s="17">
        <v>102348.42132775699</v>
      </c>
      <c r="O90" s="18">
        <f>IFERROR(PayGapsForMalesInRacialEthnicGroupsByOccupationalSeries[[#This Row],[Black Male Avg Salary]]/PayGapsForMalesInRacialEthnicGroupsByOccupationalSeries[[#This Row],[White Male Average Salary]],"")</f>
        <v>0.97025672169247501</v>
      </c>
      <c r="P90" s="15">
        <f>IFERROR(PayGapsForMalesInRacialEthnicGroupsByOccupationalSeries[[#This Row],[Hispanic Latino Male Employees]]/Q$318,"")</f>
        <v>8.8531555248366079E-3</v>
      </c>
      <c r="Q90" s="16">
        <v>871</v>
      </c>
      <c r="R90" s="17">
        <v>95029.856486796998</v>
      </c>
      <c r="S90" s="18">
        <f>IFERROR(PayGapsForMalesInRacialEthnicGroupsByOccupationalSeries[[#This Row],[Hispanic Latino Male Avg Salary]]/PayGapsForMalesInRacialEthnicGroupsByOccupationalSeries[[#This Row],[White Male Average Salary]],"")</f>
        <v>0.90087717838379977</v>
      </c>
      <c r="T90" s="15">
        <f>IFERROR(PayGapsForMalesInRacialEthnicGroupsByOccupationalSeries[[#This Row],[Other Male Employees]]/U$318,"")</f>
        <v>1.1972339766745794E-2</v>
      </c>
      <c r="U90" s="16">
        <v>232</v>
      </c>
      <c r="V90" s="17">
        <v>99758.995689654999</v>
      </c>
      <c r="W90" s="18">
        <f>IFERROR(PayGapsForMalesInRacialEthnicGroupsByOccupationalSeries[[#This Row],[Other Male Avg Salary]]/PayGapsForMalesInRacialEthnicGroupsByOccupationalSeries[[#This Row],[White Male Average Salary]],"")</f>
        <v>0.94570912635003546</v>
      </c>
    </row>
    <row r="91" spans="1:23" ht="31.2" x14ac:dyDescent="0.3">
      <c r="A91" s="4" t="s">
        <v>101</v>
      </c>
      <c r="B91" s="25">
        <v>955</v>
      </c>
      <c r="C91" s="26">
        <v>52671.106918238998</v>
      </c>
      <c r="D91" s="15">
        <f>IFERROR(PayGapsForMalesInRacialEthnicGroupsByOccupationalSeries[[#This Row],[AIAN Male Employees]]/E$318,"")</f>
        <v>3.1568228105906312E-3</v>
      </c>
      <c r="E91" s="16">
        <v>31</v>
      </c>
      <c r="F91" s="17">
        <v>50818.516129032003</v>
      </c>
      <c r="G91" s="18">
        <f>PayGapsForMalesInRacialEthnicGroupsByOccupationalSeries[[#This Row],[AIAN Male Avg Salary]]/PayGapsForMalesInRacialEthnicGroupsByOccupationalSeries[[#This Row],[White Male Average Salary]]</f>
        <v>0.96482719089077129</v>
      </c>
      <c r="H91" s="15">
        <f>IFERROR(PayGapsForMalesInRacialEthnicGroupsByOccupationalSeries[[#This Row],[ANHPI Male Employees]]/I$318,"")</f>
        <v>1.937984496124031E-3</v>
      </c>
      <c r="I91" s="16">
        <v>128</v>
      </c>
      <c r="J91" s="17">
        <v>53833.5546875</v>
      </c>
      <c r="K91" s="18">
        <f>PayGapsForMalesInRacialEthnicGroupsByOccupationalSeries[[#This Row],[ANHPI Male Avg Salary]]/PayGapsForMalesInRacialEthnicGroupsByOccupationalSeries[[#This Row],[White Male Average Salary]]</f>
        <v>1.0220699324027016</v>
      </c>
      <c r="L91" s="15">
        <f>IFERROR(PayGapsForMalesInRacialEthnicGroupsByOccupationalSeries[[#This Row],[Black Male Employees]]/M$318,"")</f>
        <v>2.6236851577810662E-3</v>
      </c>
      <c r="M91" s="16">
        <v>328</v>
      </c>
      <c r="N91" s="17">
        <v>51957.115853659001</v>
      </c>
      <c r="O91" s="18">
        <f>IFERROR(PayGapsForMalesInRacialEthnicGroupsByOccupationalSeries[[#This Row],[Black Male Avg Salary]]/PayGapsForMalesInRacialEthnicGroupsByOccupationalSeries[[#This Row],[White Male Average Salary]],"")</f>
        <v>0.98644435049203882</v>
      </c>
      <c r="P91" s="15">
        <f>IFERROR(PayGapsForMalesInRacialEthnicGroupsByOccupationalSeries[[#This Row],[Hispanic Latino Male Employees]]/Q$318,"")</f>
        <v>1.829584379415143E-3</v>
      </c>
      <c r="Q91" s="16">
        <v>180</v>
      </c>
      <c r="R91" s="17">
        <v>53295.5</v>
      </c>
      <c r="S91" s="18">
        <f>IFERROR(PayGapsForMalesInRacialEthnicGroupsByOccupationalSeries[[#This Row],[Hispanic Latino Male Avg Salary]]/PayGapsForMalesInRacialEthnicGroupsByOccupationalSeries[[#This Row],[White Male Average Salary]],"")</f>
        <v>1.011854565402057</v>
      </c>
      <c r="T91" s="15">
        <f>IFERROR(PayGapsForMalesInRacialEthnicGroupsByOccupationalSeries[[#This Row],[Other Male Employees]]/U$318,"")</f>
        <v>1.2901228196924347E-3</v>
      </c>
      <c r="U91" s="16">
        <v>25</v>
      </c>
      <c r="V91" s="17">
        <v>54316.639999999999</v>
      </c>
      <c r="W91" s="18">
        <f>IFERROR(PayGapsForMalesInRacialEthnicGroupsByOccupationalSeries[[#This Row],[Other Male Avg Salary]]/PayGapsForMalesInRacialEthnicGroupsByOccupationalSeries[[#This Row],[White Male Average Salary]],"")</f>
        <v>1.0312416650805412</v>
      </c>
    </row>
    <row r="92" spans="1:23" ht="15.6" x14ac:dyDescent="0.3">
      <c r="A92" s="4" t="s">
        <v>102</v>
      </c>
      <c r="B92" s="25">
        <v>497</v>
      </c>
      <c r="C92" s="26">
        <v>149019.981891348</v>
      </c>
      <c r="D92" s="15" t="str">
        <f>IFERROR(PayGapsForMalesInRacialEthnicGroupsByOccupationalSeries[[#This Row],[AIAN Male Employees]]/E$318,"")</f>
        <v/>
      </c>
      <c r="E92" s="16" t="s">
        <v>0</v>
      </c>
      <c r="F92" s="17" t="s">
        <v>0</v>
      </c>
      <c r="G92" s="18" t="s">
        <v>0</v>
      </c>
      <c r="H92" s="15" t="str">
        <f>IFERROR(PayGapsForMalesInRacialEthnicGroupsByOccupationalSeries[[#This Row],[ANHPI Male Employees]]/I$318,"")</f>
        <v/>
      </c>
      <c r="I92" s="16" t="s">
        <v>0</v>
      </c>
      <c r="J92" s="17" t="s">
        <v>0</v>
      </c>
      <c r="K92" s="18" t="s">
        <v>0</v>
      </c>
      <c r="L92" s="15">
        <f>IFERROR(PayGapsForMalesInRacialEthnicGroupsByOccupationalSeries[[#This Row],[Black Male Employees]]/M$318,"")</f>
        <v>6.9591649002119743E-4</v>
      </c>
      <c r="M92" s="16">
        <v>87</v>
      </c>
      <c r="N92" s="17">
        <v>145959.43678160899</v>
      </c>
      <c r="O92" s="18">
        <f>IFERROR(PayGapsForMalesInRacialEthnicGroupsByOccupationalSeries[[#This Row],[Black Male Avg Salary]]/PayGapsForMalesInRacialEthnicGroupsByOccupationalSeries[[#This Row],[White Male Average Salary]],"")</f>
        <v>0.97946218305159582</v>
      </c>
      <c r="P92" s="15" t="str">
        <f>IFERROR(PayGapsForMalesInRacialEthnicGroupsByOccupationalSeries[[#This Row],[Hispanic Latino Male Employees]]/Q$318,"")</f>
        <v/>
      </c>
      <c r="Q92" s="16" t="s">
        <v>0</v>
      </c>
      <c r="R92" s="17" t="s">
        <v>0</v>
      </c>
      <c r="S9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92" s="15" t="str">
        <f>IFERROR(PayGapsForMalesInRacialEthnicGroupsByOccupationalSeries[[#This Row],[Other Male Employees]]/U$318,"")</f>
        <v/>
      </c>
      <c r="U92" s="16" t="s">
        <v>0</v>
      </c>
      <c r="V92" s="17" t="s">
        <v>0</v>
      </c>
      <c r="W9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93" spans="1:23" ht="15.6" x14ac:dyDescent="0.3">
      <c r="A93" s="4" t="s">
        <v>103</v>
      </c>
      <c r="B93" s="25">
        <v>3390</v>
      </c>
      <c r="C93" s="26">
        <v>119226.08535144701</v>
      </c>
      <c r="D93" s="15">
        <f>IFERROR(PayGapsForMalesInRacialEthnicGroupsByOccupationalSeries[[#This Row],[AIAN Male Employees]]/E$318,"")</f>
        <v>5.0916496945010185E-3</v>
      </c>
      <c r="E93" s="16">
        <v>50</v>
      </c>
      <c r="F93" s="17">
        <v>105001.24</v>
      </c>
      <c r="G93" s="18">
        <f>PayGapsForMalesInRacialEthnicGroupsByOccupationalSeries[[#This Row],[AIAN Male Avg Salary]]/PayGapsForMalesInRacialEthnicGroupsByOccupationalSeries[[#This Row],[White Male Average Salary]]</f>
        <v>0.88069015845386589</v>
      </c>
      <c r="H93" s="15">
        <f>IFERROR(PayGapsForMalesInRacialEthnicGroupsByOccupationalSeries[[#This Row],[ANHPI Male Employees]]/I$318,"")</f>
        <v>6.6164001937984492E-3</v>
      </c>
      <c r="I93" s="16">
        <v>437</v>
      </c>
      <c r="J93" s="17">
        <v>122692.21510297499</v>
      </c>
      <c r="K93" s="18">
        <f>PayGapsForMalesInRacialEthnicGroupsByOccupationalSeries[[#This Row],[ANHPI Male Avg Salary]]/PayGapsForMalesInRacialEthnicGroupsByOccupationalSeries[[#This Row],[White Male Average Salary]]</f>
        <v>1.0290719077231358</v>
      </c>
      <c r="L93" s="15">
        <f>IFERROR(PayGapsForMalesInRacialEthnicGroupsByOccupationalSeries[[#This Row],[Black Male Employees]]/M$318,"")</f>
        <v>7.1911370635523737E-3</v>
      </c>
      <c r="M93" s="16">
        <v>899</v>
      </c>
      <c r="N93" s="17">
        <v>113560.14460511701</v>
      </c>
      <c r="O93" s="18">
        <f>IFERROR(PayGapsForMalesInRacialEthnicGroupsByOccupationalSeries[[#This Row],[Black Male Avg Salary]]/PayGapsForMalesInRacialEthnicGroupsByOccupationalSeries[[#This Row],[White Male Average Salary]],"")</f>
        <v>0.95247733975641069</v>
      </c>
      <c r="P93" s="15">
        <f>IFERROR(PayGapsForMalesInRacialEthnicGroupsByOccupationalSeries[[#This Row],[Hispanic Latino Male Employees]]/Q$318,"")</f>
        <v>3.2221013793033351E-3</v>
      </c>
      <c r="Q93" s="16">
        <v>317</v>
      </c>
      <c r="R93" s="17">
        <v>116024.29652996801</v>
      </c>
      <c r="S93" s="18">
        <f>IFERROR(PayGapsForMalesInRacialEthnicGroupsByOccupationalSeries[[#This Row],[Hispanic Latino Male Avg Salary]]/PayGapsForMalesInRacialEthnicGroupsByOccupationalSeries[[#This Row],[White Male Average Salary]],"")</f>
        <v>0.9731452323370261</v>
      </c>
      <c r="T93" s="15">
        <f>IFERROR(PayGapsForMalesInRacialEthnicGroupsByOccupationalSeries[[#This Row],[Other Male Employees]]/U$318,"")</f>
        <v>4.6444421508927648E-3</v>
      </c>
      <c r="U93" s="16">
        <v>90</v>
      </c>
      <c r="V93" s="17">
        <v>115411.444444444</v>
      </c>
      <c r="W93" s="18">
        <f>IFERROR(PayGapsForMalesInRacialEthnicGroupsByOccupationalSeries[[#This Row],[Other Male Avg Salary]]/PayGapsForMalesInRacialEthnicGroupsByOccupationalSeries[[#This Row],[White Male Average Salary]],"")</f>
        <v>0.96800498065705631</v>
      </c>
    </row>
    <row r="94" spans="1:23" ht="15.6" x14ac:dyDescent="0.3">
      <c r="A94" s="4" t="s">
        <v>104</v>
      </c>
      <c r="B94" s="25">
        <v>3291</v>
      </c>
      <c r="C94" s="26">
        <v>117478.33120438</v>
      </c>
      <c r="D94" s="15" t="str">
        <f>IFERROR(PayGapsForMalesInRacialEthnicGroupsByOccupationalSeries[[#This Row],[AIAN Male Employees]]/E$318,"")</f>
        <v/>
      </c>
      <c r="E94" s="16" t="s">
        <v>0</v>
      </c>
      <c r="F94" s="17" t="s">
        <v>0</v>
      </c>
      <c r="G94" s="18" t="s">
        <v>0</v>
      </c>
      <c r="H94" s="15">
        <f>IFERROR(PayGapsForMalesInRacialEthnicGroupsByOccupationalSeries[[#This Row],[ANHPI Male Employees]]/I$318,"")</f>
        <v>7.1917393410852711E-3</v>
      </c>
      <c r="I94" s="16">
        <v>475</v>
      </c>
      <c r="J94" s="17">
        <v>112214.93263157899</v>
      </c>
      <c r="K94" s="18">
        <f>PayGapsForMalesInRacialEthnicGroupsByOccupationalSeries[[#This Row],[ANHPI Male Avg Salary]]/PayGapsForMalesInRacialEthnicGroupsByOccupationalSeries[[#This Row],[White Male Average Salary]]</f>
        <v>0.95519685614495042</v>
      </c>
      <c r="L94" s="15">
        <f>IFERROR(PayGapsForMalesInRacialEthnicGroupsByOccupationalSeries[[#This Row],[Black Male Employees]]/M$318,"")</f>
        <v>5.6473223213214414E-3</v>
      </c>
      <c r="M94" s="16">
        <v>706</v>
      </c>
      <c r="N94" s="17">
        <v>114298.99432624099</v>
      </c>
      <c r="O94" s="18">
        <f>IFERROR(PayGapsForMalesInRacialEthnicGroupsByOccupationalSeries[[#This Row],[Black Male Avg Salary]]/PayGapsForMalesInRacialEthnicGroupsByOccupationalSeries[[#This Row],[White Male Average Salary]],"")</f>
        <v>0.97293682293964634</v>
      </c>
      <c r="P94" s="15">
        <f>IFERROR(PayGapsForMalesInRacialEthnicGroupsByOccupationalSeries[[#This Row],[Hispanic Latino Male Employees]]/Q$318,"")</f>
        <v>5.5497392842259333E-3</v>
      </c>
      <c r="Q94" s="16">
        <v>546</v>
      </c>
      <c r="R94" s="17">
        <v>103306.844322344</v>
      </c>
      <c r="S94" s="18">
        <f>IFERROR(PayGapsForMalesInRacialEthnicGroupsByOccupationalSeries[[#This Row],[Hispanic Latino Male Avg Salary]]/PayGapsForMalesInRacialEthnicGroupsByOccupationalSeries[[#This Row],[White Male Average Salary]],"")</f>
        <v>0.87936935486952472</v>
      </c>
      <c r="T94" s="15">
        <f>IFERROR(PayGapsForMalesInRacialEthnicGroupsByOccupationalSeries[[#This Row],[Other Male Employees]]/U$318,"")</f>
        <v>5.6249354938590155E-3</v>
      </c>
      <c r="U94" s="16">
        <v>109</v>
      </c>
      <c r="V94" s="17">
        <v>97589.706422018004</v>
      </c>
      <c r="W94" s="18">
        <f>IFERROR(PayGapsForMalesInRacialEthnicGroupsByOccupationalSeries[[#This Row],[Other Male Avg Salary]]/PayGapsForMalesInRacialEthnicGroupsByOccupationalSeries[[#This Row],[White Male Average Salary]],"")</f>
        <v>0.83070388744490031</v>
      </c>
    </row>
    <row r="95" spans="1:23" ht="15.6" x14ac:dyDescent="0.3">
      <c r="A95" s="4" t="s">
        <v>105</v>
      </c>
      <c r="B95" s="25">
        <v>2510</v>
      </c>
      <c r="C95" s="26">
        <v>120294.75258964099</v>
      </c>
      <c r="D95" s="15" t="str">
        <f>IFERROR(PayGapsForMalesInRacialEthnicGroupsByOccupationalSeries[[#This Row],[AIAN Male Employees]]/E$318,"")</f>
        <v/>
      </c>
      <c r="E95" s="16" t="s">
        <v>0</v>
      </c>
      <c r="F95" s="17" t="s">
        <v>0</v>
      </c>
      <c r="G95" s="18" t="s">
        <v>0</v>
      </c>
      <c r="H95" s="15">
        <f>IFERROR(PayGapsForMalesInRacialEthnicGroupsByOccupationalSeries[[#This Row],[ANHPI Male Employees]]/I$318,"")</f>
        <v>8.1758720930232565E-3</v>
      </c>
      <c r="I95" s="16">
        <v>540</v>
      </c>
      <c r="J95" s="17">
        <v>116357.772222222</v>
      </c>
      <c r="K95" s="18">
        <f>PayGapsForMalesInRacialEthnicGroupsByOccupationalSeries[[#This Row],[ANHPI Male Avg Salary]]/PayGapsForMalesInRacialEthnicGroupsByOccupationalSeries[[#This Row],[White Male Average Salary]]</f>
        <v>0.96727221859087131</v>
      </c>
      <c r="L95" s="15">
        <f>IFERROR(PayGapsForMalesInRacialEthnicGroupsByOccupationalSeries[[#This Row],[Black Male Employees]]/M$318,"")</f>
        <v>3.5355757309122903E-3</v>
      </c>
      <c r="M95" s="16">
        <v>442</v>
      </c>
      <c r="N95" s="17">
        <v>111444.391402715</v>
      </c>
      <c r="O95" s="18">
        <f>IFERROR(PayGapsForMalesInRacialEthnicGroupsByOccupationalSeries[[#This Row],[Black Male Avg Salary]]/PayGapsForMalesInRacialEthnicGroupsByOccupationalSeries[[#This Row],[White Male Average Salary]],"")</f>
        <v>0.92642770364957605</v>
      </c>
      <c r="P95" s="15">
        <f>IFERROR(PayGapsForMalesInRacialEthnicGroupsByOccupationalSeries[[#This Row],[Hispanic Latino Male Employees]]/Q$318,"")</f>
        <v>3.8522915544352177E-3</v>
      </c>
      <c r="Q95" s="16">
        <v>379</v>
      </c>
      <c r="R95" s="17">
        <v>108453.66754617399</v>
      </c>
      <c r="S95" s="18">
        <f>IFERROR(PayGapsForMalesInRacialEthnicGroupsByOccupationalSeries[[#This Row],[Hispanic Latino Male Avg Salary]]/PayGapsForMalesInRacialEthnicGroupsByOccupationalSeries[[#This Row],[White Male Average Salary]],"")</f>
        <v>0.90156607176490688</v>
      </c>
      <c r="T95" s="15" t="str">
        <f>IFERROR(PayGapsForMalesInRacialEthnicGroupsByOccupationalSeries[[#This Row],[Other Male Employees]]/U$318,"")</f>
        <v/>
      </c>
      <c r="U95" s="16" t="s">
        <v>0</v>
      </c>
      <c r="V95" s="17" t="s">
        <v>0</v>
      </c>
      <c r="W9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96" spans="1:23" ht="15.6" x14ac:dyDescent="0.3">
      <c r="A96" s="4" t="s">
        <v>106</v>
      </c>
      <c r="B96" s="25">
        <v>902</v>
      </c>
      <c r="C96" s="26">
        <v>48850.502217294998</v>
      </c>
      <c r="D96" s="15">
        <f>IFERROR(PayGapsForMalesInRacialEthnicGroupsByOccupationalSeries[[#This Row],[AIAN Male Employees]]/E$318,"")</f>
        <v>4.4806517311608961E-3</v>
      </c>
      <c r="E96" s="16">
        <v>44</v>
      </c>
      <c r="F96" s="17">
        <v>52137.181818181998</v>
      </c>
      <c r="G96" s="18">
        <f>PayGapsForMalesInRacialEthnicGroupsByOccupationalSeries[[#This Row],[AIAN Male Avg Salary]]/PayGapsForMalesInRacialEthnicGroupsByOccupationalSeries[[#This Row],[White Male Average Salary]]</f>
        <v>1.0672803646166689</v>
      </c>
      <c r="H96" s="15">
        <f>IFERROR(PayGapsForMalesInRacialEthnicGroupsByOccupationalSeries[[#This Row],[ANHPI Male Employees]]/I$318,"")</f>
        <v>7.8730620155038759E-4</v>
      </c>
      <c r="I96" s="16">
        <v>52</v>
      </c>
      <c r="J96" s="17">
        <v>51278.788461538003</v>
      </c>
      <c r="K96" s="18">
        <f>PayGapsForMalesInRacialEthnicGroupsByOccupationalSeries[[#This Row],[ANHPI Male Avg Salary]]/PayGapsForMalesInRacialEthnicGroupsByOccupationalSeries[[#This Row],[White Male Average Salary]]</f>
        <v>1.0497085215918884</v>
      </c>
      <c r="L96" s="15">
        <f>IFERROR(PayGapsForMalesInRacialEthnicGroupsByOccupationalSeries[[#This Row],[Black Male Employees]]/M$318,"")</f>
        <v>2.2077350717913851E-3</v>
      </c>
      <c r="M96" s="16">
        <v>276</v>
      </c>
      <c r="N96" s="17">
        <v>50532.189090909</v>
      </c>
      <c r="O96" s="18">
        <f>IFERROR(PayGapsForMalesInRacialEthnicGroupsByOccupationalSeries[[#This Row],[Black Male Avg Salary]]/PayGapsForMalesInRacialEthnicGroupsByOccupationalSeries[[#This Row],[White Male Average Salary]],"")</f>
        <v>1.0344251706181768</v>
      </c>
      <c r="P96" s="15">
        <f>IFERROR(PayGapsForMalesInRacialEthnicGroupsByOccupationalSeries[[#This Row],[Hispanic Latino Male Employees]]/Q$318,"")</f>
        <v>7.9281989774656193E-4</v>
      </c>
      <c r="Q96" s="16">
        <v>78</v>
      </c>
      <c r="R96" s="17">
        <v>52577.576923077002</v>
      </c>
      <c r="S96" s="18">
        <f>IFERROR(PayGapsForMalesInRacialEthnicGroupsByOccupationalSeries[[#This Row],[Hispanic Latino Male Avg Salary]]/PayGapsForMalesInRacialEthnicGroupsByOccupationalSeries[[#This Row],[White Male Average Salary]],"")</f>
        <v>1.0762955248485138</v>
      </c>
      <c r="T96" s="15" t="str">
        <f>IFERROR(PayGapsForMalesInRacialEthnicGroupsByOccupationalSeries[[#This Row],[Other Male Employees]]/U$318,"")</f>
        <v/>
      </c>
      <c r="U96" s="16" t="s">
        <v>0</v>
      </c>
      <c r="V96" s="17" t="s">
        <v>0</v>
      </c>
      <c r="W9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97" spans="1:23" ht="15.6" x14ac:dyDescent="0.3">
      <c r="A97" s="4" t="s">
        <v>107</v>
      </c>
      <c r="B97" s="25">
        <v>175</v>
      </c>
      <c r="C97" s="26">
        <v>78853.919999999998</v>
      </c>
      <c r="D97" s="15" t="str">
        <f>IFERROR(PayGapsForMalesInRacialEthnicGroupsByOccupationalSeries[[#This Row],[AIAN Male Employees]]/E$318,"")</f>
        <v/>
      </c>
      <c r="E97" s="16" t="s">
        <v>0</v>
      </c>
      <c r="F97" s="17" t="s">
        <v>0</v>
      </c>
      <c r="G97" s="18" t="s">
        <v>0</v>
      </c>
      <c r="H97" s="15" t="str">
        <f>IFERROR(PayGapsForMalesInRacialEthnicGroupsByOccupationalSeries[[#This Row],[ANHPI Male Employees]]/I$318,"")</f>
        <v/>
      </c>
      <c r="I97" s="16" t="s">
        <v>0</v>
      </c>
      <c r="J97" s="17" t="s">
        <v>0</v>
      </c>
      <c r="K97" s="18" t="s">
        <v>0</v>
      </c>
      <c r="L97" s="15">
        <f>IFERROR(PayGapsForMalesInRacialEthnicGroupsByOccupationalSeries[[#This Row],[Black Male Employees]]/M$318,"")</f>
        <v>3.5995680518337801E-4</v>
      </c>
      <c r="M97" s="16">
        <v>45</v>
      </c>
      <c r="N97" s="17">
        <v>70888.222222222001</v>
      </c>
      <c r="O97" s="18">
        <f>IFERROR(PayGapsForMalesInRacialEthnicGroupsByOccupationalSeries[[#This Row],[Black Male Avg Salary]]/PayGapsForMalesInRacialEthnicGroupsByOccupationalSeries[[#This Row],[White Male Average Salary]],"")</f>
        <v>0.89898158800757155</v>
      </c>
      <c r="P97" s="15">
        <f>IFERROR(PayGapsForMalesInRacialEthnicGroupsByOccupationalSeries[[#This Row],[Hispanic Latino Male Employees]]/Q$318,"")</f>
        <v>3.5575251821961114E-4</v>
      </c>
      <c r="Q97" s="16">
        <v>35</v>
      </c>
      <c r="R97" s="17">
        <v>76722.285714286001</v>
      </c>
      <c r="S97" s="18">
        <f>IFERROR(PayGapsForMalesInRacialEthnicGroupsByOccupationalSeries[[#This Row],[Hispanic Latino Male Avg Salary]]/PayGapsForMalesInRacialEthnicGroupsByOccupationalSeries[[#This Row],[White Male Average Salary]],"")</f>
        <v>0.97296730098244966</v>
      </c>
      <c r="T97" s="15" t="str">
        <f>IFERROR(PayGapsForMalesInRacialEthnicGroupsByOccupationalSeries[[#This Row],[Other Male Employees]]/U$318,"")</f>
        <v/>
      </c>
      <c r="U97" s="16" t="s">
        <v>0</v>
      </c>
      <c r="V97" s="17" t="s">
        <v>0</v>
      </c>
      <c r="W9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98" spans="1:23" ht="15.6" x14ac:dyDescent="0.3">
      <c r="A98" s="4" t="s">
        <v>108</v>
      </c>
      <c r="B98" s="25">
        <v>63</v>
      </c>
      <c r="C98" s="26">
        <v>45152.730158730003</v>
      </c>
      <c r="D98" s="15" t="str">
        <f>IFERROR(PayGapsForMalesInRacialEthnicGroupsByOccupationalSeries[[#This Row],[AIAN Male Employees]]/E$318,"")</f>
        <v/>
      </c>
      <c r="E98" s="16" t="s">
        <v>0</v>
      </c>
      <c r="F98" s="17" t="s">
        <v>0</v>
      </c>
      <c r="G98" s="18" t="s">
        <v>0</v>
      </c>
      <c r="H98" s="15" t="str">
        <f>IFERROR(PayGapsForMalesInRacialEthnicGroupsByOccupationalSeries[[#This Row],[ANHPI Male Employees]]/I$318,"")</f>
        <v/>
      </c>
      <c r="I98" s="16" t="s">
        <v>0</v>
      </c>
      <c r="J98" s="17" t="s">
        <v>0</v>
      </c>
      <c r="K98" s="18" t="s">
        <v>0</v>
      </c>
      <c r="L98" s="15">
        <f>IFERROR(PayGapsForMalesInRacialEthnicGroupsByOccupationalSeries[[#This Row],[Black Male Employees]]/M$318,"")</f>
        <v>1.5998080230372356E-4</v>
      </c>
      <c r="M98" s="16">
        <v>20</v>
      </c>
      <c r="N98" s="17">
        <v>45739.85</v>
      </c>
      <c r="O98" s="18">
        <f>IFERROR(PayGapsForMalesInRacialEthnicGroupsByOccupationalSeries[[#This Row],[Black Male Avg Salary]]/PayGapsForMalesInRacialEthnicGroupsByOccupationalSeries[[#This Row],[White Male Average Salary]],"")</f>
        <v>1.0130029754392709</v>
      </c>
      <c r="P98" s="15" t="str">
        <f>IFERROR(PayGapsForMalesInRacialEthnicGroupsByOccupationalSeries[[#This Row],[Hispanic Latino Male Employees]]/Q$318,"")</f>
        <v/>
      </c>
      <c r="Q98" s="16" t="s">
        <v>0</v>
      </c>
      <c r="R98" s="17" t="s">
        <v>0</v>
      </c>
      <c r="S9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98" s="15" t="str">
        <f>IFERROR(PayGapsForMalesInRacialEthnicGroupsByOccupationalSeries[[#This Row],[Other Male Employees]]/U$318,"")</f>
        <v/>
      </c>
      <c r="U98" s="16" t="s">
        <v>0</v>
      </c>
      <c r="V98" s="17" t="s">
        <v>0</v>
      </c>
      <c r="W9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99" spans="1:23" ht="15.6" x14ac:dyDescent="0.3">
      <c r="A99" s="4" t="s">
        <v>109</v>
      </c>
      <c r="B99" s="25">
        <v>103</v>
      </c>
      <c r="C99" s="26">
        <v>53197.009708737998</v>
      </c>
      <c r="D99" s="15" t="str">
        <f>IFERROR(PayGapsForMalesInRacialEthnicGroupsByOccupationalSeries[[#This Row],[AIAN Male Employees]]/E$318,"")</f>
        <v/>
      </c>
      <c r="E99" s="16" t="s">
        <v>0</v>
      </c>
      <c r="F99" s="17" t="s">
        <v>0</v>
      </c>
      <c r="G99" s="18" t="s">
        <v>0</v>
      </c>
      <c r="H99" s="15" t="str">
        <f>IFERROR(PayGapsForMalesInRacialEthnicGroupsByOccupationalSeries[[#This Row],[ANHPI Male Employees]]/I$318,"")</f>
        <v/>
      </c>
      <c r="I99" s="16" t="s">
        <v>0</v>
      </c>
      <c r="J99" s="17" t="s">
        <v>0</v>
      </c>
      <c r="K99" s="18" t="s">
        <v>0</v>
      </c>
      <c r="L99" s="15">
        <f>IFERROR(PayGapsForMalesInRacialEthnicGroupsByOccupationalSeries[[#This Row],[Black Male Employees]]/M$318,"")</f>
        <v>5.9192896852377716E-4</v>
      </c>
      <c r="M99" s="16">
        <v>74</v>
      </c>
      <c r="N99" s="17">
        <v>55662.891891892003</v>
      </c>
      <c r="O99" s="18">
        <f>IFERROR(PayGapsForMalesInRacialEthnicGroupsByOccupationalSeries[[#This Row],[Black Male Avg Salary]]/PayGapsForMalesInRacialEthnicGroupsByOccupationalSeries[[#This Row],[White Male Average Salary]],"")</f>
        <v>1.0463537743315856</v>
      </c>
      <c r="P99" s="15" t="str">
        <f>IFERROR(PayGapsForMalesInRacialEthnicGroupsByOccupationalSeries[[#This Row],[Hispanic Latino Male Employees]]/Q$318,"")</f>
        <v/>
      </c>
      <c r="Q99" s="16" t="s">
        <v>0</v>
      </c>
      <c r="R99" s="17" t="s">
        <v>0</v>
      </c>
      <c r="S9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99" s="15" t="str">
        <f>IFERROR(PayGapsForMalesInRacialEthnicGroupsByOccupationalSeries[[#This Row],[Other Male Employees]]/U$318,"")</f>
        <v/>
      </c>
      <c r="U99" s="16" t="s">
        <v>0</v>
      </c>
      <c r="V99" s="17" t="s">
        <v>0</v>
      </c>
      <c r="W9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00" spans="1:23" ht="15.6" x14ac:dyDescent="0.3">
      <c r="A100" s="4" t="s">
        <v>110</v>
      </c>
      <c r="B100" s="25">
        <v>204</v>
      </c>
      <c r="C100" s="26">
        <v>49312.044117646998</v>
      </c>
      <c r="D100" s="15" t="str">
        <f>IFERROR(PayGapsForMalesInRacialEthnicGroupsByOccupationalSeries[[#This Row],[AIAN Male Employees]]/E$318,"")</f>
        <v/>
      </c>
      <c r="E100" s="16" t="s">
        <v>0</v>
      </c>
      <c r="F100" s="17" t="s">
        <v>0</v>
      </c>
      <c r="G100" s="18" t="s">
        <v>0</v>
      </c>
      <c r="H100" s="15" t="str">
        <f>IFERROR(PayGapsForMalesInRacialEthnicGroupsByOccupationalSeries[[#This Row],[ANHPI Male Employees]]/I$318,"")</f>
        <v/>
      </c>
      <c r="I100" s="16" t="s">
        <v>0</v>
      </c>
      <c r="J100" s="17" t="s">
        <v>0</v>
      </c>
      <c r="K100" s="18" t="s">
        <v>0</v>
      </c>
      <c r="L100" s="15">
        <f>IFERROR(PayGapsForMalesInRacialEthnicGroupsByOccupationalSeries[[#This Row],[Black Male Employees]]/M$318,"")</f>
        <v>6.7991840979082514E-4</v>
      </c>
      <c r="M100" s="16">
        <v>85</v>
      </c>
      <c r="N100" s="17">
        <v>47141.158536584997</v>
      </c>
      <c r="O100" s="18">
        <f>IFERROR(PayGapsForMalesInRacialEthnicGroupsByOccupationalSeries[[#This Row],[Black Male Avg Salary]]/PayGapsForMalesInRacialEthnicGroupsByOccupationalSeries[[#This Row],[White Male Average Salary]],"")</f>
        <v>0.95597656475398229</v>
      </c>
      <c r="P100" s="15">
        <f>IFERROR(PayGapsForMalesInRacialEthnicGroupsByOccupationalSeries[[#This Row],[Hispanic Latino Male Employees]]/Q$318,"")</f>
        <v>2.8460201457568887E-4</v>
      </c>
      <c r="Q100" s="16">
        <v>28</v>
      </c>
      <c r="R100" s="17">
        <v>51224.321428570998</v>
      </c>
      <c r="S100" s="18">
        <f>IFERROR(PayGapsForMalesInRacialEthnicGroupsByOccupationalSeries[[#This Row],[Hispanic Latino Male Avg Salary]]/PayGapsForMalesInRacialEthnicGroupsByOccupationalSeries[[#This Row],[White Male Average Salary]],"")</f>
        <v>1.0387791125908663</v>
      </c>
      <c r="T100" s="15" t="str">
        <f>IFERROR(PayGapsForMalesInRacialEthnicGroupsByOccupationalSeries[[#This Row],[Other Male Employees]]/U$318,"")</f>
        <v/>
      </c>
      <c r="U100" s="16" t="s">
        <v>0</v>
      </c>
      <c r="V100" s="17" t="s">
        <v>0</v>
      </c>
      <c r="W10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01" spans="1:23" ht="15.6" x14ac:dyDescent="0.3">
      <c r="A101" s="4" t="s">
        <v>111</v>
      </c>
      <c r="B101" s="25">
        <v>294</v>
      </c>
      <c r="C101" s="26">
        <v>49670.210884353997</v>
      </c>
      <c r="D101" s="15" t="str">
        <f>IFERROR(PayGapsForMalesInRacialEthnicGroupsByOccupationalSeries[[#This Row],[AIAN Male Employees]]/E$318,"")</f>
        <v/>
      </c>
      <c r="E101" s="16" t="s">
        <v>0</v>
      </c>
      <c r="F101" s="17" t="s">
        <v>0</v>
      </c>
      <c r="G101" s="18" t="s">
        <v>0</v>
      </c>
      <c r="H101" s="15" t="str">
        <f>IFERROR(PayGapsForMalesInRacialEthnicGroupsByOccupationalSeries[[#This Row],[ANHPI Male Employees]]/I$318,"")</f>
        <v/>
      </c>
      <c r="I101" s="16" t="s">
        <v>0</v>
      </c>
      <c r="J101" s="17" t="s">
        <v>0</v>
      </c>
      <c r="K101" s="18" t="s">
        <v>0</v>
      </c>
      <c r="L101" s="15">
        <f>IFERROR(PayGapsForMalesInRacialEthnicGroupsByOccupationalSeries[[#This Row],[Black Male Employees]]/M$318,"")</f>
        <v>1.0478742550893894E-3</v>
      </c>
      <c r="M101" s="16">
        <v>131</v>
      </c>
      <c r="N101" s="17">
        <v>48109.366412214004</v>
      </c>
      <c r="O101" s="18">
        <f>IFERROR(PayGapsForMalesInRacialEthnicGroupsByOccupationalSeries[[#This Row],[Black Male Avg Salary]]/PayGapsForMalesInRacialEthnicGroupsByOccupationalSeries[[#This Row],[White Male Average Salary]],"")</f>
        <v>0.96857584366263172</v>
      </c>
      <c r="P101" s="15">
        <f>IFERROR(PayGapsForMalesInRacialEthnicGroupsByOccupationalSeries[[#This Row],[Hispanic Latino Male Employees]]/Q$318,"")</f>
        <v>3.3542380289277619E-4</v>
      </c>
      <c r="Q101" s="16">
        <v>33</v>
      </c>
      <c r="R101" s="17">
        <v>48694.424242424</v>
      </c>
      <c r="S101" s="18">
        <f>IFERROR(PayGapsForMalesInRacialEthnicGroupsByOccupationalSeries[[#This Row],[Hispanic Latino Male Avg Salary]]/PayGapsForMalesInRacialEthnicGroupsByOccupationalSeries[[#This Row],[White Male Average Salary]],"")</f>
        <v>0.98035469097963168</v>
      </c>
      <c r="T101" s="15" t="str">
        <f>IFERROR(PayGapsForMalesInRacialEthnicGroupsByOccupationalSeries[[#This Row],[Other Male Employees]]/U$318,"")</f>
        <v/>
      </c>
      <c r="U101" s="16" t="s">
        <v>0</v>
      </c>
      <c r="V101" s="17" t="s">
        <v>0</v>
      </c>
      <c r="W10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02" spans="1:23" ht="15.6" x14ac:dyDescent="0.3">
      <c r="A102" s="4" t="s">
        <v>112</v>
      </c>
      <c r="B102" s="25">
        <v>2867</v>
      </c>
      <c r="C102" s="26">
        <v>107594.93058946601</v>
      </c>
      <c r="D102" s="15">
        <f>IFERROR(PayGapsForMalesInRacialEthnicGroupsByOccupationalSeries[[#This Row],[AIAN Male Employees]]/E$318,"")</f>
        <v>5.4989816700610995E-3</v>
      </c>
      <c r="E102" s="16">
        <v>54</v>
      </c>
      <c r="F102" s="17">
        <v>104318.09259259301</v>
      </c>
      <c r="G102" s="18">
        <f>PayGapsForMalesInRacialEthnicGroupsByOccupationalSeries[[#This Row],[AIAN Male Avg Salary]]/PayGapsForMalesInRacialEthnicGroupsByOccupationalSeries[[#This Row],[White Male Average Salary]]</f>
        <v>0.96954468041458253</v>
      </c>
      <c r="H102" s="15">
        <f>IFERROR(PayGapsForMalesInRacialEthnicGroupsByOccupationalSeries[[#This Row],[ANHPI Male Employees]]/I$318,"")</f>
        <v>5.1326308139534879E-3</v>
      </c>
      <c r="I102" s="16">
        <v>339</v>
      </c>
      <c r="J102" s="17">
        <v>112204.872781065</v>
      </c>
      <c r="K102" s="18">
        <f>PayGapsForMalesInRacialEthnicGroupsByOccupationalSeries[[#This Row],[ANHPI Male Avg Salary]]/PayGapsForMalesInRacialEthnicGroupsByOccupationalSeries[[#This Row],[White Male Average Salary]]</f>
        <v>1.0428453475116637</v>
      </c>
      <c r="L102" s="15">
        <f>IFERROR(PayGapsForMalesInRacialEthnicGroupsByOccupationalSeries[[#This Row],[Black Male Employees]]/M$318,"")</f>
        <v>7.6150861896572414E-3</v>
      </c>
      <c r="M102" s="16">
        <v>952</v>
      </c>
      <c r="N102" s="17">
        <v>108083.849631966</v>
      </c>
      <c r="O102" s="18">
        <f>IFERROR(PayGapsForMalesInRacialEthnicGroupsByOccupationalSeries[[#This Row],[Black Male Avg Salary]]/PayGapsForMalesInRacialEthnicGroupsByOccupationalSeries[[#This Row],[White Male Average Salary]],"")</f>
        <v>1.0045440713593234</v>
      </c>
      <c r="P102" s="15">
        <f>IFERROR(PayGapsForMalesInRacialEthnicGroupsByOccupationalSeries[[#This Row],[Hispanic Latino Male Employees]]/Q$318,"")</f>
        <v>4.0352499923767314E-3</v>
      </c>
      <c r="Q102" s="16">
        <v>397</v>
      </c>
      <c r="R102" s="17">
        <v>100446.05037783401</v>
      </c>
      <c r="S102" s="18">
        <f>IFERROR(PayGapsForMalesInRacialEthnicGroupsByOccupationalSeries[[#This Row],[Hispanic Latino Male Avg Salary]]/PayGapsForMalesInRacialEthnicGroupsByOccupationalSeries[[#This Row],[White Male Average Salary]],"")</f>
        <v>0.93355746248948368</v>
      </c>
      <c r="T102" s="15">
        <f>IFERROR(PayGapsForMalesInRacialEthnicGroupsByOccupationalSeries[[#This Row],[Other Male Employees]]/U$318,"")</f>
        <v>7.4311074414284244E-3</v>
      </c>
      <c r="U102" s="16">
        <v>144</v>
      </c>
      <c r="V102" s="17">
        <v>100707.805555556</v>
      </c>
      <c r="W102" s="18">
        <f>IFERROR(PayGapsForMalesInRacialEthnicGroupsByOccupationalSeries[[#This Row],[Other Male Avg Salary]]/PayGapsForMalesInRacialEthnicGroupsByOccupationalSeries[[#This Row],[White Male Average Salary]],"")</f>
        <v>0.93599024604432168</v>
      </c>
    </row>
    <row r="103" spans="1:23" ht="15.6" x14ac:dyDescent="0.3">
      <c r="A103" s="4" t="s">
        <v>113</v>
      </c>
      <c r="B103" s="25">
        <v>72</v>
      </c>
      <c r="C103" s="26">
        <v>51381.777777777999</v>
      </c>
      <c r="D103" s="15" t="str">
        <f>IFERROR(PayGapsForMalesInRacialEthnicGroupsByOccupationalSeries[[#This Row],[AIAN Male Employees]]/E$318,"")</f>
        <v/>
      </c>
      <c r="E103" s="16" t="s">
        <v>0</v>
      </c>
      <c r="F103" s="17" t="s">
        <v>0</v>
      </c>
      <c r="G103" s="18" t="s">
        <v>0</v>
      </c>
      <c r="H103" s="15" t="str">
        <f>IFERROR(PayGapsForMalesInRacialEthnicGroupsByOccupationalSeries[[#This Row],[ANHPI Male Employees]]/I$318,"")</f>
        <v/>
      </c>
      <c r="I103" s="16" t="s">
        <v>0</v>
      </c>
      <c r="J103" s="17" t="s">
        <v>0</v>
      </c>
      <c r="K103" s="18" t="s">
        <v>0</v>
      </c>
      <c r="L103" s="15">
        <f>IFERROR(PayGapsForMalesInRacialEthnicGroupsByOccupationalSeries[[#This Row],[Black Male Employees]]/M$318,"")</f>
        <v>2.7196736391633003E-4</v>
      </c>
      <c r="M103" s="16">
        <v>34</v>
      </c>
      <c r="N103" s="17">
        <v>51651.852941176003</v>
      </c>
      <c r="O103" s="18">
        <f>IFERROR(PayGapsForMalesInRacialEthnicGroupsByOccupationalSeries[[#This Row],[Black Male Avg Salary]]/PayGapsForMalesInRacialEthnicGroupsByOccupationalSeries[[#This Row],[White Male Average Salary]],"")</f>
        <v>1.0052562440436774</v>
      </c>
      <c r="P103" s="15" t="str">
        <f>IFERROR(PayGapsForMalesInRacialEthnicGroupsByOccupationalSeries[[#This Row],[Hispanic Latino Male Employees]]/Q$318,"")</f>
        <v/>
      </c>
      <c r="Q103" s="16" t="s">
        <v>0</v>
      </c>
      <c r="R103" s="17" t="s">
        <v>0</v>
      </c>
      <c r="S10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03" s="15" t="str">
        <f>IFERROR(PayGapsForMalesInRacialEthnicGroupsByOccupationalSeries[[#This Row],[Other Male Employees]]/U$318,"")</f>
        <v/>
      </c>
      <c r="U103" s="16" t="s">
        <v>0</v>
      </c>
      <c r="V103" s="17" t="s">
        <v>0</v>
      </c>
      <c r="W10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04" spans="1:23" ht="15.6" x14ac:dyDescent="0.3">
      <c r="A104" s="4" t="s">
        <v>114</v>
      </c>
      <c r="B104" s="25">
        <v>2550</v>
      </c>
      <c r="C104" s="26">
        <v>146841.746062992</v>
      </c>
      <c r="D104" s="15" t="str">
        <f>IFERROR(PayGapsForMalesInRacialEthnicGroupsByOccupationalSeries[[#This Row],[AIAN Male Employees]]/E$318,"")</f>
        <v/>
      </c>
      <c r="E104" s="16" t="s">
        <v>0</v>
      </c>
      <c r="F104" s="17" t="s">
        <v>0</v>
      </c>
      <c r="G104" s="18" t="s">
        <v>0</v>
      </c>
      <c r="H104" s="15">
        <f>IFERROR(PayGapsForMalesInRacialEthnicGroupsByOccupationalSeries[[#This Row],[ANHPI Male Employees]]/I$318,"")</f>
        <v>3.1492248062015503E-3</v>
      </c>
      <c r="I104" s="16">
        <v>208</v>
      </c>
      <c r="J104" s="17">
        <v>153292.35436893199</v>
      </c>
      <c r="K104" s="18">
        <f>PayGapsForMalesInRacialEthnicGroupsByOccupationalSeries[[#This Row],[ANHPI Male Avg Salary]]/PayGapsForMalesInRacialEthnicGroupsByOccupationalSeries[[#This Row],[White Male Average Salary]]</f>
        <v>1.0439289812256307</v>
      </c>
      <c r="L104" s="15">
        <f>IFERROR(PayGapsForMalesInRacialEthnicGroupsByOccupationalSeries[[#This Row],[Black Male Employees]]/M$318,"")</f>
        <v>2.423709154901412E-3</v>
      </c>
      <c r="M104" s="16">
        <v>303</v>
      </c>
      <c r="N104" s="17">
        <v>139831.08940397401</v>
      </c>
      <c r="O104" s="18">
        <f>IFERROR(PayGapsForMalesInRacialEthnicGroupsByOccupationalSeries[[#This Row],[Black Male Avg Salary]]/PayGapsForMalesInRacialEthnicGroupsByOccupationalSeries[[#This Row],[White Male Average Salary]],"")</f>
        <v>0.95225706008691446</v>
      </c>
      <c r="P104" s="15">
        <f>IFERROR(PayGapsForMalesInRacialEthnicGroupsByOccupationalSeries[[#This Row],[Hispanic Latino Male Employees]]/Q$318,"")</f>
        <v>2.2361586859518411E-3</v>
      </c>
      <c r="Q104" s="16">
        <v>220</v>
      </c>
      <c r="R104" s="17">
        <v>130433.79452054801</v>
      </c>
      <c r="S104" s="18">
        <f>IFERROR(PayGapsForMalesInRacialEthnicGroupsByOccupationalSeries[[#This Row],[Hispanic Latino Male Avg Salary]]/PayGapsForMalesInRacialEthnicGroupsByOccupationalSeries[[#This Row],[White Male Average Salary]],"")</f>
        <v>0.88826098856516367</v>
      </c>
      <c r="T104" s="15" t="str">
        <f>IFERROR(PayGapsForMalesInRacialEthnicGroupsByOccupationalSeries[[#This Row],[Other Male Employees]]/U$318,"")</f>
        <v/>
      </c>
      <c r="U104" s="16" t="s">
        <v>0</v>
      </c>
      <c r="V104" s="17" t="s">
        <v>0</v>
      </c>
      <c r="W10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05" spans="1:23" ht="15.6" x14ac:dyDescent="0.3">
      <c r="A105" s="4" t="s">
        <v>115</v>
      </c>
      <c r="B105" s="25">
        <v>361</v>
      </c>
      <c r="C105" s="26">
        <v>106721.817174515</v>
      </c>
      <c r="D105" s="15" t="str">
        <f>IFERROR(PayGapsForMalesInRacialEthnicGroupsByOccupationalSeries[[#This Row],[AIAN Male Employees]]/E$318,"")</f>
        <v/>
      </c>
      <c r="E105" s="16" t="s">
        <v>0</v>
      </c>
      <c r="F105" s="17" t="s">
        <v>0</v>
      </c>
      <c r="G105" s="18" t="s">
        <v>0</v>
      </c>
      <c r="H105" s="15" t="str">
        <f>IFERROR(PayGapsForMalesInRacialEthnicGroupsByOccupationalSeries[[#This Row],[ANHPI Male Employees]]/I$318,"")</f>
        <v/>
      </c>
      <c r="I105" s="16" t="s">
        <v>0</v>
      </c>
      <c r="J105" s="17" t="s">
        <v>0</v>
      </c>
      <c r="K105" s="18" t="s">
        <v>0</v>
      </c>
      <c r="L105" s="15" t="str">
        <f>IFERROR(PayGapsForMalesInRacialEthnicGroupsByOccupationalSeries[[#This Row],[Black Male Employees]]/M$318,"")</f>
        <v/>
      </c>
      <c r="M105" s="16" t="s">
        <v>0</v>
      </c>
      <c r="N105" s="17" t="s">
        <v>0</v>
      </c>
      <c r="O105" s="18" t="str">
        <f>IFERROR(PayGapsForMalesInRacialEthnicGroupsByOccupationalSeries[[#This Row],[Black Male Avg Salary]]/PayGapsForMalesInRacialEthnicGroupsByOccupationalSeries[[#This Row],[White Male Average Salary]],"")</f>
        <v/>
      </c>
      <c r="P105" s="15" t="str">
        <f>IFERROR(PayGapsForMalesInRacialEthnicGroupsByOccupationalSeries[[#This Row],[Hispanic Latino Male Employees]]/Q$318,"")</f>
        <v/>
      </c>
      <c r="Q105" s="16" t="s">
        <v>0</v>
      </c>
      <c r="R105" s="17" t="s">
        <v>0</v>
      </c>
      <c r="S10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05" s="15" t="str">
        <f>IFERROR(PayGapsForMalesInRacialEthnicGroupsByOccupationalSeries[[#This Row],[Other Male Employees]]/U$318,"")</f>
        <v/>
      </c>
      <c r="U105" s="16" t="s">
        <v>0</v>
      </c>
      <c r="V105" s="17" t="s">
        <v>0</v>
      </c>
      <c r="W10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06" spans="1:23" ht="15.6" x14ac:dyDescent="0.3">
      <c r="A106" s="4" t="s">
        <v>116</v>
      </c>
      <c r="B106" s="25">
        <v>1282</v>
      </c>
      <c r="C106" s="26">
        <v>53954.406396256003</v>
      </c>
      <c r="D106" s="15" t="str">
        <f>IFERROR(PayGapsForMalesInRacialEthnicGroupsByOccupationalSeries[[#This Row],[AIAN Male Employees]]/E$318,"")</f>
        <v/>
      </c>
      <c r="E106" s="16" t="s">
        <v>0</v>
      </c>
      <c r="F106" s="17" t="s">
        <v>0</v>
      </c>
      <c r="G106" s="18" t="s">
        <v>0</v>
      </c>
      <c r="H106" s="15">
        <f>IFERROR(PayGapsForMalesInRacialEthnicGroupsByOccupationalSeries[[#This Row],[ANHPI Male Employees]]/I$318,"")</f>
        <v>2.2256540697674419E-3</v>
      </c>
      <c r="I106" s="16">
        <v>147</v>
      </c>
      <c r="J106" s="17">
        <v>52107.986394558</v>
      </c>
      <c r="K106" s="18">
        <f>PayGapsForMalesInRacialEthnicGroupsByOccupationalSeries[[#This Row],[ANHPI Male Avg Salary]]/PayGapsForMalesInRacialEthnicGroupsByOccupationalSeries[[#This Row],[White Male Average Salary]]</f>
        <v>0.96577814260178518</v>
      </c>
      <c r="L106" s="15">
        <f>IFERROR(PayGapsForMalesInRacialEthnicGroupsByOccupationalSeries[[#This Row],[Black Male Employees]]/M$318,"")</f>
        <v>3.2236131664200294E-3</v>
      </c>
      <c r="M106" s="16">
        <v>403</v>
      </c>
      <c r="N106" s="17">
        <v>52715.205955334997</v>
      </c>
      <c r="O106" s="18">
        <f>IFERROR(PayGapsForMalesInRacialEthnicGroupsByOccupationalSeries[[#This Row],[Black Male Avg Salary]]/PayGapsForMalesInRacialEthnicGroupsByOccupationalSeries[[#This Row],[White Male Average Salary]],"")</f>
        <v>0.97703245158847685</v>
      </c>
      <c r="P106" s="15">
        <f>IFERROR(PayGapsForMalesInRacialEthnicGroupsByOccupationalSeries[[#This Row],[Hispanic Latino Male Employees]]/Q$318,"")</f>
        <v>3.3339093136009268E-3</v>
      </c>
      <c r="Q106" s="16">
        <v>328</v>
      </c>
      <c r="R106" s="17">
        <v>50152.118902438997</v>
      </c>
      <c r="S106" s="18">
        <f>IFERROR(PayGapsForMalesInRacialEthnicGroupsByOccupationalSeries[[#This Row],[Hispanic Latino Male Avg Salary]]/PayGapsForMalesInRacialEthnicGroupsByOccupationalSeries[[#This Row],[White Male Average Salary]],"")</f>
        <v>0.92952776709483265</v>
      </c>
      <c r="T106" s="15">
        <f>IFERROR(PayGapsForMalesInRacialEthnicGroupsByOccupationalSeries[[#This Row],[Other Male Employees]]/U$318,"")</f>
        <v>1.3933326452678296E-3</v>
      </c>
      <c r="U106" s="16">
        <v>27</v>
      </c>
      <c r="V106" s="17">
        <v>52927.074074074</v>
      </c>
      <c r="W106" s="18">
        <f>IFERROR(PayGapsForMalesInRacialEthnicGroupsByOccupationalSeries[[#This Row],[Other Male Avg Salary]]/PayGapsForMalesInRacialEthnicGroupsByOccupationalSeries[[#This Row],[White Male Average Salary]],"")</f>
        <v>0.98095925076745372</v>
      </c>
    </row>
    <row r="107" spans="1:23" ht="15.6" x14ac:dyDescent="0.3">
      <c r="A107" s="4" t="s">
        <v>117</v>
      </c>
      <c r="B107" s="25">
        <v>3148</v>
      </c>
      <c r="C107" s="26">
        <v>117300.7718014</v>
      </c>
      <c r="D107" s="15">
        <f>IFERROR(PayGapsForMalesInRacialEthnicGroupsByOccupationalSeries[[#This Row],[AIAN Male Employees]]/E$318,"")</f>
        <v>5.9063136456211814E-3</v>
      </c>
      <c r="E107" s="16">
        <v>58</v>
      </c>
      <c r="F107" s="17">
        <v>96028.465517240998</v>
      </c>
      <c r="G107" s="18">
        <f>PayGapsForMalesInRacialEthnicGroupsByOccupationalSeries[[#This Row],[AIAN Male Avg Salary]]/PayGapsForMalesInRacialEthnicGroupsByOccupationalSeries[[#This Row],[White Male Average Salary]]</f>
        <v>0.81865160853182795</v>
      </c>
      <c r="H107" s="15">
        <f>IFERROR(PayGapsForMalesInRacialEthnicGroupsByOccupationalSeries[[#This Row],[ANHPI Male Employees]]/I$318,"")</f>
        <v>1.2066981589147287E-2</v>
      </c>
      <c r="I107" s="16">
        <v>797</v>
      </c>
      <c r="J107" s="17">
        <v>127730.841907152</v>
      </c>
      <c r="K107" s="18">
        <f>PayGapsForMalesInRacialEthnicGroupsByOccupationalSeries[[#This Row],[ANHPI Male Avg Salary]]/PayGapsForMalesInRacialEthnicGroupsByOccupationalSeries[[#This Row],[White Male Average Salary]]</f>
        <v>1.0889173186636059</v>
      </c>
      <c r="L107" s="15">
        <f>IFERROR(PayGapsForMalesInRacialEthnicGroupsByOccupationalSeries[[#This Row],[Black Male Employees]]/M$318,"")</f>
        <v>4.2074951005879298E-3</v>
      </c>
      <c r="M107" s="16">
        <v>526</v>
      </c>
      <c r="N107" s="17">
        <v>106647.051330798</v>
      </c>
      <c r="O107" s="18">
        <f>IFERROR(PayGapsForMalesInRacialEthnicGroupsByOccupationalSeries[[#This Row],[Black Male Avg Salary]]/PayGapsForMalesInRacialEthnicGroupsByOccupationalSeries[[#This Row],[White Male Average Salary]],"")</f>
        <v>0.90917604115478767</v>
      </c>
      <c r="P107" s="15">
        <f>IFERROR(PayGapsForMalesInRacialEthnicGroupsByOccupationalSeries[[#This Row],[Hispanic Latino Male Employees]]/Q$318,"")</f>
        <v>2.7850339997763842E-3</v>
      </c>
      <c r="Q107" s="16">
        <v>274</v>
      </c>
      <c r="R107" s="17">
        <v>109568.171532847</v>
      </c>
      <c r="S107" s="18">
        <f>IFERROR(PayGapsForMalesInRacialEthnicGroupsByOccupationalSeries[[#This Row],[Hispanic Latino Male Avg Salary]]/PayGapsForMalesInRacialEthnicGroupsByOccupationalSeries[[#This Row],[White Male Average Salary]],"")</f>
        <v>0.9340788628258565</v>
      </c>
      <c r="T107" s="15">
        <f>IFERROR(PayGapsForMalesInRacialEthnicGroupsByOccupationalSeries[[#This Row],[Other Male Employees]]/U$318,"")</f>
        <v>3.1478996800495406E-3</v>
      </c>
      <c r="U107" s="16">
        <v>61</v>
      </c>
      <c r="V107" s="17">
        <v>114004.81967213099</v>
      </c>
      <c r="W107" s="18">
        <f>IFERROR(PayGapsForMalesInRacialEthnicGroupsByOccupationalSeries[[#This Row],[Other Male Avg Salary]]/PayGapsForMalesInRacialEthnicGroupsByOccupationalSeries[[#This Row],[White Male Average Salary]],"")</f>
        <v>0.97190170125351494</v>
      </c>
    </row>
    <row r="108" spans="1:23" ht="15.6" x14ac:dyDescent="0.3">
      <c r="A108" s="4" t="s">
        <v>118</v>
      </c>
      <c r="B108" s="25">
        <v>8901</v>
      </c>
      <c r="C108" s="26">
        <v>282131.08045847801</v>
      </c>
      <c r="D108" s="15">
        <f>IFERROR(PayGapsForMalesInRacialEthnicGroupsByOccupationalSeries[[#This Row],[AIAN Male Employees]]/E$318,"")</f>
        <v>1.8126272912423625E-2</v>
      </c>
      <c r="E108" s="16">
        <v>178</v>
      </c>
      <c r="F108" s="17">
        <v>282058.17977528099</v>
      </c>
      <c r="G108" s="18">
        <f>PayGapsForMalesInRacialEthnicGroupsByOccupationalSeries[[#This Row],[AIAN Male Avg Salary]]/PayGapsForMalesInRacialEthnicGroupsByOccupationalSeries[[#This Row],[White Male Average Salary]]</f>
        <v>0.99974160704634685</v>
      </c>
      <c r="H108" s="15">
        <f>IFERROR(PayGapsForMalesInRacialEthnicGroupsByOccupationalSeries[[#This Row],[ANHPI Male Employees]]/I$318,"")</f>
        <v>4.9358042635658912E-2</v>
      </c>
      <c r="I108" s="16">
        <v>3260</v>
      </c>
      <c r="J108" s="17">
        <v>279120.35573971801</v>
      </c>
      <c r="K108" s="18">
        <f>PayGapsForMalesInRacialEthnicGroupsByOccupationalSeries[[#This Row],[ANHPI Male Avg Salary]]/PayGapsForMalesInRacialEthnicGroupsByOccupationalSeries[[#This Row],[White Male Average Salary]]</f>
        <v>0.98932863152167638</v>
      </c>
      <c r="L108" s="15">
        <f>IFERROR(PayGapsForMalesInRacialEthnicGroupsByOccupationalSeries[[#This Row],[Black Male Employees]]/M$318,"")</f>
        <v>5.4953405591329036E-3</v>
      </c>
      <c r="M108" s="16">
        <v>687</v>
      </c>
      <c r="N108" s="17">
        <v>266966.62590975303</v>
      </c>
      <c r="O108" s="18">
        <f>IFERROR(PayGapsForMalesInRacialEthnicGroupsByOccupationalSeries[[#This Row],[Black Male Avg Salary]]/PayGapsForMalesInRacialEthnicGroupsByOccupationalSeries[[#This Row],[White Male Average Salary]],"")</f>
        <v>0.94625032263697451</v>
      </c>
      <c r="P108" s="15">
        <f>IFERROR(PayGapsForMalesInRacialEthnicGroupsByOccupationalSeries[[#This Row],[Hispanic Latino Male Employees]]/Q$318,"")</f>
        <v>8.3551019993291526E-3</v>
      </c>
      <c r="Q108" s="16">
        <v>822</v>
      </c>
      <c r="R108" s="17">
        <v>271270.55542021903</v>
      </c>
      <c r="S108" s="18">
        <f>IFERROR(PayGapsForMalesInRacialEthnicGroupsByOccupationalSeries[[#This Row],[Hispanic Latino Male Avg Salary]]/PayGapsForMalesInRacialEthnicGroupsByOccupationalSeries[[#This Row],[White Male Average Salary]],"")</f>
        <v>0.9615053930938412</v>
      </c>
      <c r="T108" s="15">
        <f>IFERROR(PayGapsForMalesInRacialEthnicGroupsByOccupationalSeries[[#This Row],[Other Male Employees]]/U$318,"")</f>
        <v>5.5733305810713183E-3</v>
      </c>
      <c r="U108" s="16">
        <v>108</v>
      </c>
      <c r="V108" s="17">
        <v>279583.47222222202</v>
      </c>
      <c r="W108" s="18">
        <f>IFERROR(PayGapsForMalesInRacialEthnicGroupsByOccupationalSeries[[#This Row],[Other Male Avg Salary]]/PayGapsForMalesInRacialEthnicGroupsByOccupationalSeries[[#This Row],[White Male Average Salary]],"")</f>
        <v>0.99097012554548758</v>
      </c>
    </row>
    <row r="109" spans="1:23" ht="15.6" x14ac:dyDescent="0.3">
      <c r="A109" s="4" t="s">
        <v>119</v>
      </c>
      <c r="B109" s="25">
        <v>1074</v>
      </c>
      <c r="C109" s="26">
        <v>116116.50522648099</v>
      </c>
      <c r="D109" s="15" t="str">
        <f>IFERROR(PayGapsForMalesInRacialEthnicGroupsByOccupationalSeries[[#This Row],[AIAN Male Employees]]/E$318,"")</f>
        <v/>
      </c>
      <c r="E109" s="16" t="s">
        <v>0</v>
      </c>
      <c r="F109" s="17" t="s">
        <v>0</v>
      </c>
      <c r="G109" s="18" t="s">
        <v>0</v>
      </c>
      <c r="H109" s="15">
        <f>IFERROR(PayGapsForMalesInRacialEthnicGroupsByOccupationalSeries[[#This Row],[ANHPI Male Employees]]/I$318,"")</f>
        <v>1.2112403100775194E-3</v>
      </c>
      <c r="I109" s="16">
        <v>80</v>
      </c>
      <c r="J109" s="17">
        <v>121027.375</v>
      </c>
      <c r="K109" s="18">
        <f>PayGapsForMalesInRacialEthnicGroupsByOccupationalSeries[[#This Row],[ANHPI Male Avg Salary]]/PayGapsForMalesInRacialEthnicGroupsByOccupationalSeries[[#This Row],[White Male Average Salary]]</f>
        <v>1.0422926074457763</v>
      </c>
      <c r="L109" s="15">
        <f>IFERROR(PayGapsForMalesInRacialEthnicGroupsByOccupationalSeries[[#This Row],[Black Male Employees]]/M$318,"")</f>
        <v>9.0389153301603808E-4</v>
      </c>
      <c r="M109" s="16">
        <v>113</v>
      </c>
      <c r="N109" s="17">
        <v>118092.296296296</v>
      </c>
      <c r="O109" s="18">
        <f>IFERROR(PayGapsForMalesInRacialEthnicGroupsByOccupationalSeries[[#This Row],[Black Male Avg Salary]]/PayGapsForMalesInRacialEthnicGroupsByOccupationalSeries[[#This Row],[White Male Average Salary]],"")</f>
        <v>1.0170155919346806</v>
      </c>
      <c r="P109" s="15">
        <f>IFERROR(PayGapsForMalesInRacialEthnicGroupsByOccupationalSeries[[#This Row],[Hispanic Latino Male Employees]]/Q$318,"")</f>
        <v>6.7084760578555239E-4</v>
      </c>
      <c r="Q109" s="16">
        <v>66</v>
      </c>
      <c r="R109" s="17">
        <v>115753.07692307699</v>
      </c>
      <c r="S109" s="18">
        <f>IFERROR(PayGapsForMalesInRacialEthnicGroupsByOccupationalSeries[[#This Row],[Hispanic Latino Male Avg Salary]]/PayGapsForMalesInRacialEthnicGroupsByOccupationalSeries[[#This Row],[White Male Average Salary]],"")</f>
        <v>0.99687014087536352</v>
      </c>
      <c r="T109" s="15" t="str">
        <f>IFERROR(PayGapsForMalesInRacialEthnicGroupsByOccupationalSeries[[#This Row],[Other Male Employees]]/U$318,"")</f>
        <v/>
      </c>
      <c r="U109" s="16" t="s">
        <v>0</v>
      </c>
      <c r="V109" s="17" t="s">
        <v>0</v>
      </c>
      <c r="W10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10" spans="1:23" ht="15.6" x14ac:dyDescent="0.3">
      <c r="A110" s="4" t="s">
        <v>120</v>
      </c>
      <c r="B110" s="25">
        <v>10530</v>
      </c>
      <c r="C110" s="26">
        <v>103448.70066476701</v>
      </c>
      <c r="D110" s="15">
        <f>IFERROR(PayGapsForMalesInRacialEthnicGroupsByOccupationalSeries[[#This Row],[AIAN Male Employees]]/E$318,"")</f>
        <v>2.209775967413442E-2</v>
      </c>
      <c r="E110" s="16">
        <v>217</v>
      </c>
      <c r="F110" s="17">
        <v>108269.502304147</v>
      </c>
      <c r="G110" s="18">
        <f>PayGapsForMalesInRacialEthnicGroupsByOccupationalSeries[[#This Row],[AIAN Male Avg Salary]]/PayGapsForMalesInRacialEthnicGroupsByOccupationalSeries[[#This Row],[White Male Average Salary]]</f>
        <v>1.0466008911508917</v>
      </c>
      <c r="H110" s="15">
        <f>IFERROR(PayGapsForMalesInRacialEthnicGroupsByOccupationalSeries[[#This Row],[ANHPI Male Employees]]/I$318,"")</f>
        <v>3.7790697674418602E-2</v>
      </c>
      <c r="I110" s="16">
        <v>2496</v>
      </c>
      <c r="J110" s="17">
        <v>114928.90537289499</v>
      </c>
      <c r="K110" s="18">
        <f>PayGapsForMalesInRacialEthnicGroupsByOccupationalSeries[[#This Row],[ANHPI Male Avg Salary]]/PayGapsForMalesInRacialEthnicGroupsByOccupationalSeries[[#This Row],[White Male Average Salary]]</f>
        <v>1.1109748564685256</v>
      </c>
      <c r="L110" s="15">
        <f>IFERROR(PayGapsForMalesInRacialEthnicGroupsByOccupationalSeries[[#This Row],[Black Male Employees]]/M$318,"")</f>
        <v>1.5294164700235972E-2</v>
      </c>
      <c r="M110" s="16">
        <v>1912</v>
      </c>
      <c r="N110" s="17">
        <v>106782.54840397699</v>
      </c>
      <c r="O110" s="18">
        <f>IFERROR(PayGapsForMalesInRacialEthnicGroupsByOccupationalSeries[[#This Row],[Black Male Avg Salary]]/PayGapsForMalesInRacialEthnicGroupsByOccupationalSeries[[#This Row],[White Male Average Salary]],"")</f>
        <v>1.0322270624743133</v>
      </c>
      <c r="P110" s="15">
        <f>IFERROR(PayGapsForMalesInRacialEthnicGroupsByOccupationalSeries[[#This Row],[Hispanic Latino Male Employees]]/Q$318,"")</f>
        <v>1.5033084984194424E-2</v>
      </c>
      <c r="Q110" s="16">
        <v>1479</v>
      </c>
      <c r="R110" s="17">
        <v>99725.732746954993</v>
      </c>
      <c r="S110" s="18">
        <f>IFERROR(PayGapsForMalesInRacialEthnicGroupsByOccupationalSeries[[#This Row],[Hispanic Latino Male Avg Salary]]/PayGapsForMalesInRacialEthnicGroupsByOccupationalSeries[[#This Row],[White Male Average Salary]],"")</f>
        <v>0.96401145791210507</v>
      </c>
      <c r="T110" s="15">
        <f>IFERROR(PayGapsForMalesInRacialEthnicGroupsByOccupationalSeries[[#This Row],[Other Male Employees]]/U$318,"")</f>
        <v>1.0062957993600991E-2</v>
      </c>
      <c r="U110" s="16">
        <v>195</v>
      </c>
      <c r="V110" s="17">
        <v>101467.671794872</v>
      </c>
      <c r="W110" s="18">
        <f>IFERROR(PayGapsForMalesInRacialEthnicGroupsByOccupationalSeries[[#This Row],[Other Male Avg Salary]]/PayGapsForMalesInRacialEthnicGroupsByOccupationalSeries[[#This Row],[White Male Average Salary]],"")</f>
        <v>0.9808501328951954</v>
      </c>
    </row>
    <row r="111" spans="1:23" ht="15.6" x14ac:dyDescent="0.3">
      <c r="A111" s="4" t="s">
        <v>121</v>
      </c>
      <c r="B111" s="25">
        <v>1487</v>
      </c>
      <c r="C111" s="26">
        <v>61127.929245282998</v>
      </c>
      <c r="D111" s="15">
        <f>IFERROR(PayGapsForMalesInRacialEthnicGroupsByOccupationalSeries[[#This Row],[AIAN Male Employees]]/E$318,"")</f>
        <v>3.564154786150713E-3</v>
      </c>
      <c r="E111" s="16">
        <v>35</v>
      </c>
      <c r="F111" s="17">
        <v>64259.628571428999</v>
      </c>
      <c r="G111" s="18">
        <f>PayGapsForMalesInRacialEthnicGroupsByOccupationalSeries[[#This Row],[AIAN Male Avg Salary]]/PayGapsForMalesInRacialEthnicGroupsByOccupationalSeries[[#This Row],[White Male Average Salary]]</f>
        <v>1.0512318896584847</v>
      </c>
      <c r="H111" s="15">
        <f>IFERROR(PayGapsForMalesInRacialEthnicGroupsByOccupationalSeries[[#This Row],[ANHPI Male Employees]]/I$318,"")</f>
        <v>5.7533914728682169E-3</v>
      </c>
      <c r="I111" s="16">
        <v>380</v>
      </c>
      <c r="J111" s="17">
        <v>67803.052631579005</v>
      </c>
      <c r="K111" s="18">
        <f>PayGapsForMalesInRacialEthnicGroupsByOccupationalSeries[[#This Row],[ANHPI Male Avg Salary]]/PayGapsForMalesInRacialEthnicGroupsByOccupationalSeries[[#This Row],[White Male Average Salary]]</f>
        <v>1.1091992395082007</v>
      </c>
      <c r="L111" s="15">
        <f>IFERROR(PayGapsForMalesInRacialEthnicGroupsByOccupationalSeries[[#This Row],[Black Male Employees]]/M$318,"")</f>
        <v>5.0473943126824782E-3</v>
      </c>
      <c r="M111" s="16">
        <v>631</v>
      </c>
      <c r="N111" s="17">
        <v>62759.174880762999</v>
      </c>
      <c r="O111" s="18">
        <f>IFERROR(PayGapsForMalesInRacialEthnicGroupsByOccupationalSeries[[#This Row],[Black Male Avg Salary]]/PayGapsForMalesInRacialEthnicGroupsByOccupationalSeries[[#This Row],[White Male Average Salary]],"")</f>
        <v>1.0266857663202436</v>
      </c>
      <c r="P111" s="15">
        <f>IFERROR(PayGapsForMalesInRacialEthnicGroupsByOccupationalSeries[[#This Row],[Hispanic Latino Male Employees]]/Q$318,"")</f>
        <v>3.8014697661181303E-3</v>
      </c>
      <c r="Q111" s="16">
        <v>374</v>
      </c>
      <c r="R111" s="17">
        <v>59075.711229947003</v>
      </c>
      <c r="S111" s="18">
        <f>IFERROR(PayGapsForMalesInRacialEthnicGroupsByOccupationalSeries[[#This Row],[Hispanic Latino Male Avg Salary]]/PayGapsForMalesInRacialEthnicGroupsByOccupationalSeries[[#This Row],[White Male Average Salary]],"")</f>
        <v>0.96642749000867956</v>
      </c>
      <c r="T111" s="15">
        <f>IFERROR(PayGapsForMalesInRacialEthnicGroupsByOccupationalSeries[[#This Row],[Other Male Employees]]/U$318,"")</f>
        <v>2.5286407265971722E-3</v>
      </c>
      <c r="U111" s="16">
        <v>49</v>
      </c>
      <c r="V111" s="17">
        <v>63676.489795918002</v>
      </c>
      <c r="W111" s="18">
        <f>IFERROR(PayGapsForMalesInRacialEthnicGroupsByOccupationalSeries[[#This Row],[Other Male Avg Salary]]/PayGapsForMalesInRacialEthnicGroupsByOccupationalSeries[[#This Row],[White Male Average Salary]],"")</f>
        <v>1.0416922441525642</v>
      </c>
    </row>
    <row r="112" spans="1:23" ht="15.6" x14ac:dyDescent="0.3">
      <c r="A112" s="4" t="s">
        <v>122</v>
      </c>
      <c r="B112" s="25">
        <v>783</v>
      </c>
      <c r="C112" s="26">
        <v>44450.588235294003</v>
      </c>
      <c r="D112" s="15">
        <f>IFERROR(PayGapsForMalesInRacialEthnicGroupsByOccupationalSeries[[#This Row],[AIAN Male Employees]]/E$318,"")</f>
        <v>6.1099796334012219E-3</v>
      </c>
      <c r="E112" s="16">
        <v>60</v>
      </c>
      <c r="F112" s="17">
        <v>44713.766666666997</v>
      </c>
      <c r="G112" s="18">
        <f>PayGapsForMalesInRacialEthnicGroupsByOccupationalSeries[[#This Row],[AIAN Male Avg Salary]]/PayGapsForMalesInRacialEthnicGroupsByOccupationalSeries[[#This Row],[White Male Average Salary]]</f>
        <v>1.005920696256704</v>
      </c>
      <c r="H112" s="15">
        <f>IFERROR(PayGapsForMalesInRacialEthnicGroupsByOccupationalSeries[[#This Row],[ANHPI Male Employees]]/I$318,"")</f>
        <v>5.0872093023255818E-3</v>
      </c>
      <c r="I112" s="16">
        <v>336</v>
      </c>
      <c r="J112" s="17">
        <v>47993.718562873997</v>
      </c>
      <c r="K112" s="18">
        <f>PayGapsForMalesInRacialEthnicGroupsByOccupationalSeries[[#This Row],[ANHPI Male Avg Salary]]/PayGapsForMalesInRacialEthnicGroupsByOccupationalSeries[[#This Row],[White Male Average Salary]]</f>
        <v>1.079709413716301</v>
      </c>
      <c r="L112" s="15">
        <f>IFERROR(PayGapsForMalesInRacialEthnicGroupsByOccupationalSeries[[#This Row],[Black Male Employees]]/M$318,"")</f>
        <v>1.0278766548014238E-2</v>
      </c>
      <c r="M112" s="16">
        <v>1285</v>
      </c>
      <c r="N112" s="17">
        <v>45096.820732658001</v>
      </c>
      <c r="O112" s="18">
        <f>IFERROR(PayGapsForMalesInRacialEthnicGroupsByOccupationalSeries[[#This Row],[Black Male Avg Salary]]/PayGapsForMalesInRacialEthnicGroupsByOccupationalSeries[[#This Row],[White Male Average Salary]],"")</f>
        <v>1.0145382214953655</v>
      </c>
      <c r="P112" s="15">
        <f>IFERROR(PayGapsForMalesInRacialEthnicGroupsByOccupationalSeries[[#This Row],[Hispanic Latino Male Employees]]/Q$318,"")</f>
        <v>2.5919112041714524E-3</v>
      </c>
      <c r="Q112" s="16">
        <v>255</v>
      </c>
      <c r="R112" s="17">
        <v>44519.541176471001</v>
      </c>
      <c r="S112" s="18">
        <f>IFERROR(PayGapsForMalesInRacialEthnicGroupsByOccupationalSeries[[#This Row],[Hispanic Latino Male Avg Salary]]/PayGapsForMalesInRacialEthnicGroupsByOccupationalSeries[[#This Row],[White Male Average Salary]],"")</f>
        <v>1.0015512267421975</v>
      </c>
      <c r="T112" s="15">
        <f>IFERROR(PayGapsForMalesInRacialEthnicGroupsByOccupationalSeries[[#This Row],[Other Male Employees]]/U$318,"")</f>
        <v>1.18691299411704E-3</v>
      </c>
      <c r="U112" s="16">
        <v>23</v>
      </c>
      <c r="V112" s="17">
        <v>44620.565217390998</v>
      </c>
      <c r="W112" s="18">
        <f>IFERROR(PayGapsForMalesInRacialEthnicGroupsByOccupationalSeries[[#This Row],[Other Male Avg Salary]]/PayGapsForMalesInRacialEthnicGroupsByOccupationalSeries[[#This Row],[White Male Average Salary]],"")</f>
        <v>1.0038239534918467</v>
      </c>
    </row>
    <row r="113" spans="1:23" ht="31.2" x14ac:dyDescent="0.3">
      <c r="A113" s="4" t="s">
        <v>123</v>
      </c>
      <c r="B113" s="25">
        <v>549</v>
      </c>
      <c r="C113" s="26">
        <v>54079.983516483997</v>
      </c>
      <c r="D113" s="15" t="str">
        <f>IFERROR(PayGapsForMalesInRacialEthnicGroupsByOccupationalSeries[[#This Row],[AIAN Male Employees]]/E$318,"")</f>
        <v/>
      </c>
      <c r="E113" s="16" t="s">
        <v>0</v>
      </c>
      <c r="F113" s="17" t="s">
        <v>0</v>
      </c>
      <c r="G113" s="18" t="s">
        <v>0</v>
      </c>
      <c r="H113" s="15">
        <f>IFERROR(PayGapsForMalesInRacialEthnicGroupsByOccupationalSeries[[#This Row],[ANHPI Male Employees]]/I$318,"")</f>
        <v>2.1953730620155039E-3</v>
      </c>
      <c r="I113" s="16">
        <v>145</v>
      </c>
      <c r="J113" s="17">
        <v>58560.765517241001</v>
      </c>
      <c r="K113" s="18">
        <f>PayGapsForMalesInRacialEthnicGroupsByOccupationalSeries[[#This Row],[ANHPI Male Avg Salary]]/PayGapsForMalesInRacialEthnicGroupsByOccupationalSeries[[#This Row],[White Male Average Salary]]</f>
        <v>1.0828547220135751</v>
      </c>
      <c r="L113" s="15">
        <f>IFERROR(PayGapsForMalesInRacialEthnicGroupsByOccupationalSeries[[#This Row],[Black Male Employees]]/M$318,"")</f>
        <v>4.4874615046194459E-3</v>
      </c>
      <c r="M113" s="16">
        <v>561</v>
      </c>
      <c r="N113" s="17">
        <v>54542.348214286001</v>
      </c>
      <c r="O113" s="18">
        <f>IFERROR(PayGapsForMalesInRacialEthnicGroupsByOccupationalSeries[[#This Row],[Black Male Avg Salary]]/PayGapsForMalesInRacialEthnicGroupsByOccupationalSeries[[#This Row],[White Male Average Salary]],"")</f>
        <v>1.0085496456865797</v>
      </c>
      <c r="P113" s="15">
        <f>IFERROR(PayGapsForMalesInRacialEthnicGroupsByOccupationalSeries[[#This Row],[Hispanic Latino Male Employees]]/Q$318,"")</f>
        <v>1.6872833721272985E-3</v>
      </c>
      <c r="Q113" s="16">
        <v>166</v>
      </c>
      <c r="R113" s="17">
        <v>54629.072289156997</v>
      </c>
      <c r="S113" s="18">
        <f>IFERROR(PayGapsForMalesInRacialEthnicGroupsByOccupationalSeries[[#This Row],[Hispanic Latino Male Avg Salary]]/PayGapsForMalesInRacialEthnicGroupsByOccupationalSeries[[#This Row],[White Male Average Salary]],"")</f>
        <v>1.0101532718201667</v>
      </c>
      <c r="T113" s="15" t="str">
        <f>IFERROR(PayGapsForMalesInRacialEthnicGroupsByOccupationalSeries[[#This Row],[Other Male Employees]]/U$318,"")</f>
        <v/>
      </c>
      <c r="U113" s="16" t="s">
        <v>0</v>
      </c>
      <c r="V113" s="17" t="s">
        <v>0</v>
      </c>
      <c r="W11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14" spans="1:23" ht="15.6" x14ac:dyDescent="0.3">
      <c r="A114" s="4" t="s">
        <v>124</v>
      </c>
      <c r="B114" s="25">
        <v>237</v>
      </c>
      <c r="C114" s="26">
        <v>88491.864978903002</v>
      </c>
      <c r="D114" s="15" t="str">
        <f>IFERROR(PayGapsForMalesInRacialEthnicGroupsByOccupationalSeries[[#This Row],[AIAN Male Employees]]/E$318,"")</f>
        <v/>
      </c>
      <c r="E114" s="16" t="s">
        <v>0</v>
      </c>
      <c r="F114" s="17" t="s">
        <v>0</v>
      </c>
      <c r="G114" s="18" t="s">
        <v>0</v>
      </c>
      <c r="H114" s="15">
        <f>IFERROR(PayGapsForMalesInRacialEthnicGroupsByOccupationalSeries[[#This Row],[ANHPI Male Employees]]/I$318,"")</f>
        <v>3.3309108527131782E-4</v>
      </c>
      <c r="I114" s="16">
        <v>22</v>
      </c>
      <c r="J114" s="17">
        <v>108806.181818182</v>
      </c>
      <c r="K114" s="18">
        <f>PayGapsForMalesInRacialEthnicGroupsByOccupationalSeries[[#This Row],[ANHPI Male Avg Salary]]/PayGapsForMalesInRacialEthnicGroupsByOccupationalSeries[[#This Row],[White Male Average Salary]]</f>
        <v>1.2295614048152568</v>
      </c>
      <c r="L114" s="15">
        <f>IFERROR(PayGapsForMalesInRacialEthnicGroupsByOccupationalSeries[[#This Row],[Black Male Employees]]/M$318,"")</f>
        <v>1.1198656161260649E-4</v>
      </c>
      <c r="M114" s="16">
        <v>14</v>
      </c>
      <c r="N114" s="17">
        <v>95704.571428570998</v>
      </c>
      <c r="O114" s="18">
        <f>IFERROR(PayGapsForMalesInRacialEthnicGroupsByOccupationalSeries[[#This Row],[Black Male Avg Salary]]/PayGapsForMalesInRacialEthnicGroupsByOccupationalSeries[[#This Row],[White Male Average Salary]],"")</f>
        <v>1.081507000122413</v>
      </c>
      <c r="P114" s="15">
        <f>IFERROR(PayGapsForMalesInRacialEthnicGroupsByOccupationalSeries[[#This Row],[Hispanic Latino Male Employees]]/Q$318,"")</f>
        <v>1.1180793429759206E-4</v>
      </c>
      <c r="Q114" s="16">
        <v>11</v>
      </c>
      <c r="R114" s="17">
        <v>84682.727272727003</v>
      </c>
      <c r="S114" s="18">
        <f>IFERROR(PayGapsForMalesInRacialEthnicGroupsByOccupationalSeries[[#This Row],[Hispanic Latino Male Avg Salary]]/PayGapsForMalesInRacialEthnicGroupsByOccupationalSeries[[#This Row],[White Male Average Salary]],"")</f>
        <v>0.9569549392242539</v>
      </c>
      <c r="T114" s="15" t="str">
        <f>IFERROR(PayGapsForMalesInRacialEthnicGroupsByOccupationalSeries[[#This Row],[Other Male Employees]]/U$318,"")</f>
        <v/>
      </c>
      <c r="U114" s="16" t="s">
        <v>0</v>
      </c>
      <c r="V114" s="17" t="s">
        <v>0</v>
      </c>
      <c r="W11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15" spans="1:23" ht="15.6" x14ac:dyDescent="0.3">
      <c r="A115" s="4" t="s">
        <v>125</v>
      </c>
      <c r="B115" s="25">
        <v>320</v>
      </c>
      <c r="C115" s="26">
        <v>99789.268750000003</v>
      </c>
      <c r="D115" s="15" t="str">
        <f>IFERROR(PayGapsForMalesInRacialEthnicGroupsByOccupationalSeries[[#This Row],[AIAN Male Employees]]/E$318,"")</f>
        <v/>
      </c>
      <c r="E115" s="16" t="s">
        <v>0</v>
      </c>
      <c r="F115" s="17" t="s">
        <v>0</v>
      </c>
      <c r="G115" s="18" t="s">
        <v>0</v>
      </c>
      <c r="H115" s="15">
        <f>IFERROR(PayGapsForMalesInRacialEthnicGroupsByOccupationalSeries[[#This Row],[ANHPI Male Employees]]/I$318,"")</f>
        <v>6.8132267441860467E-4</v>
      </c>
      <c r="I115" s="16">
        <v>45</v>
      </c>
      <c r="J115" s="17">
        <v>105596.511111111</v>
      </c>
      <c r="K115" s="18">
        <f>PayGapsForMalesInRacialEthnicGroupsByOccupationalSeries[[#This Row],[ANHPI Male Avg Salary]]/PayGapsForMalesInRacialEthnicGroupsByOccupationalSeries[[#This Row],[White Male Average Salary]]</f>
        <v>1.0581950587859279</v>
      </c>
      <c r="L115" s="15">
        <f>IFERROR(PayGapsForMalesInRacialEthnicGroupsByOccupationalSeries[[#This Row],[Black Male Employees]]/M$318,"")</f>
        <v>2.5596928368595769E-4</v>
      </c>
      <c r="M115" s="16">
        <v>32</v>
      </c>
      <c r="N115" s="17">
        <v>98208.8125</v>
      </c>
      <c r="O115" s="18">
        <f>IFERROR(PayGapsForMalesInRacialEthnicGroupsByOccupationalSeries[[#This Row],[Black Male Avg Salary]]/PayGapsForMalesInRacialEthnicGroupsByOccupationalSeries[[#This Row],[White Male Average Salary]],"")</f>
        <v>0.98416206201531065</v>
      </c>
      <c r="P115" s="15">
        <f>IFERROR(PayGapsForMalesInRacialEthnicGroupsByOccupationalSeries[[#This Row],[Hispanic Latino Male Employees]]/Q$318,"")</f>
        <v>3.4558816055619364E-4</v>
      </c>
      <c r="Q115" s="16">
        <v>34</v>
      </c>
      <c r="R115" s="17">
        <v>102033.647058824</v>
      </c>
      <c r="S115" s="18">
        <f>IFERROR(PayGapsForMalesInRacialEthnicGroupsByOccupationalSeries[[#This Row],[Hispanic Latino Male Avg Salary]]/PayGapsForMalesInRacialEthnicGroupsByOccupationalSeries[[#This Row],[White Male Average Salary]],"")</f>
        <v>1.0224911790309517</v>
      </c>
      <c r="T115" s="15" t="str">
        <f>IFERROR(PayGapsForMalesInRacialEthnicGroupsByOccupationalSeries[[#This Row],[Other Male Employees]]/U$318,"")</f>
        <v/>
      </c>
      <c r="U115" s="16" t="s">
        <v>0</v>
      </c>
      <c r="V115" s="17" t="s">
        <v>0</v>
      </c>
      <c r="W11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16" spans="1:23" ht="15.6" x14ac:dyDescent="0.3">
      <c r="A116" s="4" t="s">
        <v>126</v>
      </c>
      <c r="B116" s="25">
        <v>1032</v>
      </c>
      <c r="C116" s="26">
        <v>104955.32880698401</v>
      </c>
      <c r="D116" s="15" t="str">
        <f>IFERROR(PayGapsForMalesInRacialEthnicGroupsByOccupationalSeries[[#This Row],[AIAN Male Employees]]/E$318,"")</f>
        <v/>
      </c>
      <c r="E116" s="16" t="s">
        <v>0</v>
      </c>
      <c r="F116" s="17" t="s">
        <v>0</v>
      </c>
      <c r="G116" s="18" t="s">
        <v>0</v>
      </c>
      <c r="H116" s="15">
        <f>IFERROR(PayGapsForMalesInRacialEthnicGroupsByOccupationalSeries[[#This Row],[ANHPI Male Employees]]/I$318,"")</f>
        <v>2.7252906976744187E-3</v>
      </c>
      <c r="I116" s="16">
        <v>180</v>
      </c>
      <c r="J116" s="17">
        <v>110732.972222222</v>
      </c>
      <c r="K116" s="18">
        <f>PayGapsForMalesInRacialEthnicGroupsByOccupationalSeries[[#This Row],[ANHPI Male Avg Salary]]/PayGapsForMalesInRacialEthnicGroupsByOccupationalSeries[[#This Row],[White Male Average Salary]]</f>
        <v>1.0550485952539224</v>
      </c>
      <c r="L116" s="15">
        <f>IFERROR(PayGapsForMalesInRacialEthnicGroupsByOccupationalSeries[[#This Row],[Black Male Employees]]/M$318,"")</f>
        <v>4.319481662200536E-4</v>
      </c>
      <c r="M116" s="16">
        <v>54</v>
      </c>
      <c r="N116" s="17">
        <v>106253.71698113201</v>
      </c>
      <c r="O116" s="18">
        <f>IFERROR(PayGapsForMalesInRacialEthnicGroupsByOccupationalSeries[[#This Row],[Black Male Avg Salary]]/PayGapsForMalesInRacialEthnicGroupsByOccupationalSeries[[#This Row],[White Male Average Salary]],"")</f>
        <v>1.0123708647184153</v>
      </c>
      <c r="P116" s="15">
        <f>IFERROR(PayGapsForMalesInRacialEthnicGroupsByOccupationalSeries[[#This Row],[Hispanic Latino Male Employees]]/Q$318,"")</f>
        <v>5.8953274447821273E-4</v>
      </c>
      <c r="Q116" s="16">
        <v>58</v>
      </c>
      <c r="R116" s="17">
        <v>101279.724137931</v>
      </c>
      <c r="S116" s="18">
        <f>IFERROR(PayGapsForMalesInRacialEthnicGroupsByOccupationalSeries[[#This Row],[Hispanic Latino Male Avg Salary]]/PayGapsForMalesInRacialEthnicGroupsByOccupationalSeries[[#This Row],[White Male Average Salary]],"")</f>
        <v>0.96497934206072988</v>
      </c>
      <c r="T116" s="15" t="str">
        <f>IFERROR(PayGapsForMalesInRacialEthnicGroupsByOccupationalSeries[[#This Row],[Other Male Employees]]/U$318,"")</f>
        <v/>
      </c>
      <c r="U116" s="16" t="s">
        <v>0</v>
      </c>
      <c r="V116" s="17" t="s">
        <v>0</v>
      </c>
      <c r="W11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17" spans="1:23" ht="15.6" x14ac:dyDescent="0.3">
      <c r="A117" s="4" t="s">
        <v>127</v>
      </c>
      <c r="B117" s="25">
        <v>78</v>
      </c>
      <c r="C117" s="26">
        <v>88505.217948717996</v>
      </c>
      <c r="D117" s="15" t="str">
        <f>IFERROR(PayGapsForMalesInRacialEthnicGroupsByOccupationalSeries[[#This Row],[AIAN Male Employees]]/E$318,"")</f>
        <v/>
      </c>
      <c r="E117" s="16" t="s">
        <v>0</v>
      </c>
      <c r="F117" s="17" t="s">
        <v>0</v>
      </c>
      <c r="G117" s="18" t="s">
        <v>0</v>
      </c>
      <c r="H117" s="15" t="str">
        <f>IFERROR(PayGapsForMalesInRacialEthnicGroupsByOccupationalSeries[[#This Row],[ANHPI Male Employees]]/I$318,"")</f>
        <v/>
      </c>
      <c r="I117" s="16" t="s">
        <v>0</v>
      </c>
      <c r="J117" s="17" t="s">
        <v>0</v>
      </c>
      <c r="K117" s="18" t="s">
        <v>0</v>
      </c>
      <c r="L117" s="15">
        <f>IFERROR(PayGapsForMalesInRacialEthnicGroupsByOccupationalSeries[[#This Row],[Black Male Employees]]/M$318,"")</f>
        <v>4.319481662200536E-4</v>
      </c>
      <c r="M117" s="16">
        <v>54</v>
      </c>
      <c r="N117" s="17">
        <v>82690.814814815007</v>
      </c>
      <c r="O117" s="18">
        <f>IFERROR(PayGapsForMalesInRacialEthnicGroupsByOccupationalSeries[[#This Row],[Black Male Avg Salary]]/PayGapsForMalesInRacialEthnicGroupsByOccupationalSeries[[#This Row],[White Male Average Salary]],"")</f>
        <v>0.9343044029644445</v>
      </c>
      <c r="P117" s="15" t="str">
        <f>IFERROR(PayGapsForMalesInRacialEthnicGroupsByOccupationalSeries[[#This Row],[Hispanic Latino Male Employees]]/Q$318,"")</f>
        <v/>
      </c>
      <c r="Q117" s="16" t="s">
        <v>0</v>
      </c>
      <c r="R117" s="17" t="s">
        <v>0</v>
      </c>
      <c r="S11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17" s="15" t="str">
        <f>IFERROR(PayGapsForMalesInRacialEthnicGroupsByOccupationalSeries[[#This Row],[Other Male Employees]]/U$318,"")</f>
        <v/>
      </c>
      <c r="U117" s="16" t="s">
        <v>0</v>
      </c>
      <c r="V117" s="17" t="s">
        <v>0</v>
      </c>
      <c r="W11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18" spans="1:23" ht="31.2" x14ac:dyDescent="0.3">
      <c r="A118" s="4" t="s">
        <v>128</v>
      </c>
      <c r="B118" s="25">
        <v>307</v>
      </c>
      <c r="C118" s="26">
        <v>58039.006514658002</v>
      </c>
      <c r="D118" s="15" t="str">
        <f>IFERROR(PayGapsForMalesInRacialEthnicGroupsByOccupationalSeries[[#This Row],[AIAN Male Employees]]/E$318,"")</f>
        <v/>
      </c>
      <c r="E118" s="16" t="s">
        <v>0</v>
      </c>
      <c r="F118" s="17" t="s">
        <v>0</v>
      </c>
      <c r="G118" s="18" t="s">
        <v>0</v>
      </c>
      <c r="H118" s="15" t="str">
        <f>IFERROR(PayGapsForMalesInRacialEthnicGroupsByOccupationalSeries[[#This Row],[ANHPI Male Employees]]/I$318,"")</f>
        <v/>
      </c>
      <c r="I118" s="16" t="s">
        <v>0</v>
      </c>
      <c r="J118" s="17" t="s">
        <v>0</v>
      </c>
      <c r="K118" s="18" t="s">
        <v>0</v>
      </c>
      <c r="L118" s="15">
        <f>IFERROR(PayGapsForMalesInRacialEthnicGroupsByOccupationalSeries[[#This Row],[Black Male Employees]]/M$318,"")</f>
        <v>6.7991840979082514E-4</v>
      </c>
      <c r="M118" s="16">
        <v>85</v>
      </c>
      <c r="N118" s="17">
        <v>56329.647058823997</v>
      </c>
      <c r="O118" s="18">
        <f>IFERROR(PayGapsForMalesInRacialEthnicGroupsByOccupationalSeries[[#This Row],[Black Male Avg Salary]]/PayGapsForMalesInRacialEthnicGroupsByOccupationalSeries[[#This Row],[White Male Average Salary]],"")</f>
        <v>0.97054809242121853</v>
      </c>
      <c r="P118" s="15">
        <f>IFERROR(PayGapsForMalesInRacialEthnicGroupsByOccupationalSeries[[#This Row],[Hispanic Latino Male Employees]]/Q$318,"")</f>
        <v>5.2854659849770795E-4</v>
      </c>
      <c r="Q118" s="16">
        <v>52</v>
      </c>
      <c r="R118" s="17">
        <v>60056.961538461997</v>
      </c>
      <c r="S118" s="18">
        <f>IFERROR(PayGapsForMalesInRacialEthnicGroupsByOccupationalSeries[[#This Row],[Hispanic Latino Male Avg Salary]]/PayGapsForMalesInRacialEthnicGroupsByOccupationalSeries[[#This Row],[White Male Average Salary]],"")</f>
        <v>1.0347689449731423</v>
      </c>
      <c r="T118" s="15" t="str">
        <f>IFERROR(PayGapsForMalesInRacialEthnicGroupsByOccupationalSeries[[#This Row],[Other Male Employees]]/U$318,"")</f>
        <v/>
      </c>
      <c r="U118" s="16" t="s">
        <v>0</v>
      </c>
      <c r="V118" s="17" t="s">
        <v>0</v>
      </c>
      <c r="W11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19" spans="1:23" ht="31.2" x14ac:dyDescent="0.3">
      <c r="A119" s="4" t="s">
        <v>129</v>
      </c>
      <c r="B119" s="25">
        <v>194</v>
      </c>
      <c r="C119" s="26">
        <v>81107.458762887007</v>
      </c>
      <c r="D119" s="15" t="str">
        <f>IFERROR(PayGapsForMalesInRacialEthnicGroupsByOccupationalSeries[[#This Row],[AIAN Male Employees]]/E$318,"")</f>
        <v/>
      </c>
      <c r="E119" s="16" t="s">
        <v>0</v>
      </c>
      <c r="F119" s="17" t="s">
        <v>0</v>
      </c>
      <c r="G119" s="18" t="s">
        <v>0</v>
      </c>
      <c r="H119" s="15" t="str">
        <f>IFERROR(PayGapsForMalesInRacialEthnicGroupsByOccupationalSeries[[#This Row],[ANHPI Male Employees]]/I$318,"")</f>
        <v/>
      </c>
      <c r="I119" s="16" t="s">
        <v>0</v>
      </c>
      <c r="J119" s="17" t="s">
        <v>0</v>
      </c>
      <c r="K119" s="18" t="s">
        <v>0</v>
      </c>
      <c r="L119" s="15">
        <f>IFERROR(PayGapsForMalesInRacialEthnicGroupsByOccupationalSeries[[#This Row],[Black Male Employees]]/M$318,"")</f>
        <v>4.7994240691117069E-4</v>
      </c>
      <c r="M119" s="16">
        <v>60</v>
      </c>
      <c r="N119" s="17">
        <v>83974.333333332994</v>
      </c>
      <c r="O119" s="18">
        <f>IFERROR(PayGapsForMalesInRacialEthnicGroupsByOccupationalSeries[[#This Row],[Black Male Avg Salary]]/PayGapsForMalesInRacialEthnicGroupsByOccupationalSeries[[#This Row],[White Male Average Salary]],"")</f>
        <v>1.0353466205719395</v>
      </c>
      <c r="P119" s="15" t="str">
        <f>IFERROR(PayGapsForMalesInRacialEthnicGroupsByOccupationalSeries[[#This Row],[Hispanic Latino Male Employees]]/Q$318,"")</f>
        <v/>
      </c>
      <c r="Q119" s="16" t="s">
        <v>0</v>
      </c>
      <c r="R119" s="17" t="s">
        <v>0</v>
      </c>
      <c r="S11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19" s="15" t="str">
        <f>IFERROR(PayGapsForMalesInRacialEthnicGroupsByOccupationalSeries[[#This Row],[Other Male Employees]]/U$318,"")</f>
        <v/>
      </c>
      <c r="U119" s="16" t="s">
        <v>0</v>
      </c>
      <c r="V119" s="17" t="s">
        <v>0</v>
      </c>
      <c r="W11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20" spans="1:23" ht="15.6" x14ac:dyDescent="0.3">
      <c r="A120" s="4" t="s">
        <v>130</v>
      </c>
      <c r="B120" s="25">
        <v>2109</v>
      </c>
      <c r="C120" s="26">
        <v>53962.642619839004</v>
      </c>
      <c r="D120" s="15">
        <f>IFERROR(PayGapsForMalesInRacialEthnicGroupsByOccupationalSeries[[#This Row],[AIAN Male Employees]]/E$318,"")</f>
        <v>1.2016293279022403E-2</v>
      </c>
      <c r="E120" s="16">
        <v>118</v>
      </c>
      <c r="F120" s="17">
        <v>49576.694915253996</v>
      </c>
      <c r="G120" s="18">
        <f>PayGapsForMalesInRacialEthnicGroupsByOccupationalSeries[[#This Row],[AIAN Male Avg Salary]]/PayGapsForMalesInRacialEthnicGroupsByOccupationalSeries[[#This Row],[White Male Average Salary]]</f>
        <v>0.9187225181782972</v>
      </c>
      <c r="H120" s="15">
        <f>IFERROR(PayGapsForMalesInRacialEthnicGroupsByOccupationalSeries[[#This Row],[ANHPI Male Employees]]/I$318,"")</f>
        <v>4.2696220930232556E-3</v>
      </c>
      <c r="I120" s="16">
        <v>282</v>
      </c>
      <c r="J120" s="17">
        <v>54054.982206405999</v>
      </c>
      <c r="K120" s="18">
        <f>PayGapsForMalesInRacialEthnicGroupsByOccupationalSeries[[#This Row],[ANHPI Male Avg Salary]]/PayGapsForMalesInRacialEthnicGroupsByOccupationalSeries[[#This Row],[White Male Average Salary]]</f>
        <v>1.0017111761411968</v>
      </c>
      <c r="L120" s="15">
        <f>IFERROR(PayGapsForMalesInRacialEthnicGroupsByOccupationalSeries[[#This Row],[Black Male Employees]]/M$318,"")</f>
        <v>8.7029556453225611E-3</v>
      </c>
      <c r="M120" s="16">
        <v>1088</v>
      </c>
      <c r="N120" s="17">
        <v>51495.749770009003</v>
      </c>
      <c r="O120" s="18">
        <f>IFERROR(PayGapsForMalesInRacialEthnicGroupsByOccupationalSeries[[#This Row],[Black Male Avg Salary]]/PayGapsForMalesInRacialEthnicGroupsByOccupationalSeries[[#This Row],[White Male Average Salary]],"")</f>
        <v>0.95428517340766661</v>
      </c>
      <c r="P120" s="15">
        <f>IFERROR(PayGapsForMalesInRacialEthnicGroupsByOccupationalSeries[[#This Row],[Hispanic Latino Male Employees]]/Q$318,"")</f>
        <v>5.20415112366974E-3</v>
      </c>
      <c r="Q120" s="16">
        <v>512</v>
      </c>
      <c r="R120" s="17">
        <v>54054.878669275997</v>
      </c>
      <c r="S120" s="18">
        <f>IFERROR(PayGapsForMalesInRacialEthnicGroupsByOccupationalSeries[[#This Row],[Hispanic Latino Male Avg Salary]]/PayGapsForMalesInRacialEthnicGroupsByOccupationalSeries[[#This Row],[White Male Average Salary]],"")</f>
        <v>1.0017092574595872</v>
      </c>
      <c r="T120" s="15">
        <f>IFERROR(PayGapsForMalesInRacialEthnicGroupsByOccupationalSeries[[#This Row],[Other Male Employees]]/U$318,"")</f>
        <v>3.7155537207142122E-3</v>
      </c>
      <c r="U120" s="16">
        <v>72</v>
      </c>
      <c r="V120" s="17">
        <v>55165.430555555999</v>
      </c>
      <c r="W120" s="18">
        <f>IFERROR(PayGapsForMalesInRacialEthnicGroupsByOccupationalSeries[[#This Row],[Other Male Avg Salary]]/PayGapsForMalesInRacialEthnicGroupsByOccupationalSeries[[#This Row],[White Male Average Salary]],"")</f>
        <v>1.0222892704530893</v>
      </c>
    </row>
    <row r="121" spans="1:23" ht="15.6" x14ac:dyDescent="0.3">
      <c r="A121" s="4" t="s">
        <v>131</v>
      </c>
      <c r="B121" s="25">
        <v>864</v>
      </c>
      <c r="C121" s="26">
        <v>85087.310185184993</v>
      </c>
      <c r="D121" s="15">
        <f>IFERROR(PayGapsForMalesInRacialEthnicGroupsByOccupationalSeries[[#This Row],[AIAN Male Employees]]/E$318,"")</f>
        <v>3.8696537678207738E-3</v>
      </c>
      <c r="E121" s="16">
        <v>38</v>
      </c>
      <c r="F121" s="17">
        <v>78349.052631579005</v>
      </c>
      <c r="G121" s="18">
        <f>PayGapsForMalesInRacialEthnicGroupsByOccupationalSeries[[#This Row],[AIAN Male Avg Salary]]/PayGapsForMalesInRacialEthnicGroupsByOccupationalSeries[[#This Row],[White Male Average Salary]]</f>
        <v>0.92080772633497554</v>
      </c>
      <c r="H121" s="15">
        <f>IFERROR(PayGapsForMalesInRacialEthnicGroupsByOccupationalSeries[[#This Row],[ANHPI Male Employees]]/I$318,"")</f>
        <v>3.9516715116279071E-3</v>
      </c>
      <c r="I121" s="16">
        <v>261</v>
      </c>
      <c r="J121" s="17">
        <v>91409.685823755004</v>
      </c>
      <c r="K121" s="18">
        <f>PayGapsForMalesInRacialEthnicGroupsByOccupationalSeries[[#This Row],[ANHPI Male Avg Salary]]/PayGapsForMalesInRacialEthnicGroupsByOccupationalSeries[[#This Row],[White Male Average Salary]]</f>
        <v>1.074304565801997</v>
      </c>
      <c r="L121" s="15">
        <f>IFERROR(PayGapsForMalesInRacialEthnicGroupsByOccupationalSeries[[#This Row],[Black Male Employees]]/M$318,"")</f>
        <v>1.9917609886813581E-3</v>
      </c>
      <c r="M121" s="16">
        <v>249</v>
      </c>
      <c r="N121" s="17">
        <v>86833.318548387004</v>
      </c>
      <c r="O121" s="18">
        <f>IFERROR(PayGapsForMalesInRacialEthnicGroupsByOccupationalSeries[[#This Row],[Black Male Avg Salary]]/PayGapsForMalesInRacialEthnicGroupsByOccupationalSeries[[#This Row],[White Male Average Salary]],"")</f>
        <v>1.020520196953012</v>
      </c>
      <c r="P121" s="15">
        <f>IFERROR(PayGapsForMalesInRacialEthnicGroupsByOccupationalSeries[[#This Row],[Hispanic Latino Male Employees]]/Q$318,"")</f>
        <v>1.6567902991370461E-3</v>
      </c>
      <c r="Q121" s="16">
        <v>163</v>
      </c>
      <c r="R121" s="17">
        <v>83856.938650306998</v>
      </c>
      <c r="S121" s="18">
        <f>IFERROR(PayGapsForMalesInRacialEthnicGroupsByOccupationalSeries[[#This Row],[Hispanic Latino Male Avg Salary]]/PayGapsForMalesInRacialEthnicGroupsByOccupationalSeries[[#This Row],[White Male Average Salary]],"")</f>
        <v>0.98553989387841501</v>
      </c>
      <c r="T121" s="15" t="str">
        <f>IFERROR(PayGapsForMalesInRacialEthnicGroupsByOccupationalSeries[[#This Row],[Other Male Employees]]/U$318,"")</f>
        <v/>
      </c>
      <c r="U121" s="16" t="s">
        <v>0</v>
      </c>
      <c r="V121" s="17" t="s">
        <v>0</v>
      </c>
      <c r="W12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22" spans="1:23" ht="15.6" x14ac:dyDescent="0.3">
      <c r="A122" s="4" t="s">
        <v>132</v>
      </c>
      <c r="B122" s="25">
        <v>412</v>
      </c>
      <c r="C122" s="26">
        <v>49492.075242717998</v>
      </c>
      <c r="D122" s="15">
        <f>IFERROR(PayGapsForMalesInRacialEthnicGroupsByOccupationalSeries[[#This Row],[AIAN Male Employees]]/E$318,"")</f>
        <v>2.8513238289205704E-3</v>
      </c>
      <c r="E122" s="16">
        <v>28</v>
      </c>
      <c r="F122" s="17">
        <v>46881.357142856999</v>
      </c>
      <c r="G122" s="18">
        <f>PayGapsForMalesInRacialEthnicGroupsByOccupationalSeries[[#This Row],[AIAN Male Avg Salary]]/PayGapsForMalesInRacialEthnicGroupsByOccupationalSeries[[#This Row],[White Male Average Salary]]</f>
        <v>0.94724977509919372</v>
      </c>
      <c r="H122" s="15">
        <f>IFERROR(PayGapsForMalesInRacialEthnicGroupsByOccupationalSeries[[#This Row],[ANHPI Male Employees]]/I$318,"")</f>
        <v>1.3020833333333333E-3</v>
      </c>
      <c r="I122" s="16">
        <v>86</v>
      </c>
      <c r="J122" s="17">
        <v>54450.511627906999</v>
      </c>
      <c r="K122" s="18">
        <f>PayGapsForMalesInRacialEthnicGroupsByOccupationalSeries[[#This Row],[ANHPI Male Avg Salary]]/PayGapsForMalesInRacialEthnicGroupsByOccupationalSeries[[#This Row],[White Male Average Salary]]</f>
        <v>1.1001864714880503</v>
      </c>
      <c r="L122" s="15">
        <f>IFERROR(PayGapsForMalesInRacialEthnicGroupsByOccupationalSeries[[#This Row],[Black Male Employees]]/M$318,"")</f>
        <v>1.6158061032676078E-3</v>
      </c>
      <c r="M122" s="16">
        <v>202</v>
      </c>
      <c r="N122" s="17">
        <v>49620.440594059</v>
      </c>
      <c r="O122" s="18">
        <f>IFERROR(PayGapsForMalesInRacialEthnicGroupsByOccupationalSeries[[#This Row],[Black Male Avg Salary]]/PayGapsForMalesInRacialEthnicGroupsByOccupationalSeries[[#This Row],[White Male Average Salary]],"")</f>
        <v>1.0025936546550427</v>
      </c>
      <c r="P122" s="15">
        <f>IFERROR(PayGapsForMalesInRacialEthnicGroupsByOccupationalSeries[[#This Row],[Hispanic Latino Male Employees]]/Q$318,"")</f>
        <v>1.1790654889564255E-3</v>
      </c>
      <c r="Q122" s="16">
        <v>116</v>
      </c>
      <c r="R122" s="17">
        <v>48524.198275862</v>
      </c>
      <c r="S122" s="18">
        <f>IFERROR(PayGapsForMalesInRacialEthnicGroupsByOccupationalSeries[[#This Row],[Hispanic Latino Male Avg Salary]]/PayGapsForMalesInRacialEthnicGroupsByOccupationalSeries[[#This Row],[White Male Average Salary]],"")</f>
        <v>0.98044379909087753</v>
      </c>
      <c r="T122" s="15" t="str">
        <f>IFERROR(PayGapsForMalesInRacialEthnicGroupsByOccupationalSeries[[#This Row],[Other Male Employees]]/U$318,"")</f>
        <v/>
      </c>
      <c r="U122" s="16" t="s">
        <v>0</v>
      </c>
      <c r="V122" s="17" t="s">
        <v>0</v>
      </c>
      <c r="W12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23" spans="1:23" ht="15.6" x14ac:dyDescent="0.3">
      <c r="A123" s="4" t="s">
        <v>133</v>
      </c>
      <c r="B123" s="25">
        <v>55</v>
      </c>
      <c r="C123" s="26">
        <v>64683.436363635999</v>
      </c>
      <c r="D123" s="15" t="str">
        <f>IFERROR(PayGapsForMalesInRacialEthnicGroupsByOccupationalSeries[[#This Row],[AIAN Male Employees]]/E$318,"")</f>
        <v/>
      </c>
      <c r="E123" s="16" t="s">
        <v>0</v>
      </c>
      <c r="F123" s="17" t="s">
        <v>0</v>
      </c>
      <c r="G123" s="18" t="s">
        <v>0</v>
      </c>
      <c r="H123" s="15" t="str">
        <f>IFERROR(PayGapsForMalesInRacialEthnicGroupsByOccupationalSeries[[#This Row],[ANHPI Male Employees]]/I$318,"")</f>
        <v/>
      </c>
      <c r="I123" s="16" t="s">
        <v>0</v>
      </c>
      <c r="J123" s="17" t="s">
        <v>0</v>
      </c>
      <c r="K123" s="18" t="s">
        <v>0</v>
      </c>
      <c r="L123" s="15" t="str">
        <f>IFERROR(PayGapsForMalesInRacialEthnicGroupsByOccupationalSeries[[#This Row],[Black Male Employees]]/M$318,"")</f>
        <v/>
      </c>
      <c r="M123" s="16" t="s">
        <v>0</v>
      </c>
      <c r="N123" s="17" t="s">
        <v>0</v>
      </c>
      <c r="O123" s="18" t="str">
        <f>IFERROR(PayGapsForMalesInRacialEthnicGroupsByOccupationalSeries[[#This Row],[Black Male Avg Salary]]/PayGapsForMalesInRacialEthnicGroupsByOccupationalSeries[[#This Row],[White Male Average Salary]],"")</f>
        <v/>
      </c>
      <c r="P123" s="15" t="str">
        <f>IFERROR(PayGapsForMalesInRacialEthnicGroupsByOccupationalSeries[[#This Row],[Hispanic Latino Male Employees]]/Q$318,"")</f>
        <v/>
      </c>
      <c r="Q123" s="16" t="s">
        <v>0</v>
      </c>
      <c r="R123" s="17" t="s">
        <v>0</v>
      </c>
      <c r="S12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23" s="15" t="str">
        <f>IFERROR(PayGapsForMalesInRacialEthnicGroupsByOccupationalSeries[[#This Row],[Other Male Employees]]/U$318,"")</f>
        <v/>
      </c>
      <c r="U123" s="16" t="s">
        <v>0</v>
      </c>
      <c r="V123" s="17" t="s">
        <v>0</v>
      </c>
      <c r="W12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24" spans="1:23" ht="31.2" x14ac:dyDescent="0.3">
      <c r="A124" s="4" t="s">
        <v>134</v>
      </c>
      <c r="B124" s="25">
        <v>1456</v>
      </c>
      <c r="C124" s="26">
        <v>78836.991746904998</v>
      </c>
      <c r="D124" s="15">
        <f>IFERROR(PayGapsForMalesInRacialEthnicGroupsByOccupationalSeries[[#This Row],[AIAN Male Employees]]/E$318,"")</f>
        <v>5.3971486761710792E-3</v>
      </c>
      <c r="E124" s="16">
        <v>53</v>
      </c>
      <c r="F124" s="17">
        <v>76033.301886792004</v>
      </c>
      <c r="G124" s="18">
        <f>PayGapsForMalesInRacialEthnicGroupsByOccupationalSeries[[#This Row],[AIAN Male Avg Salary]]/PayGapsForMalesInRacialEthnicGroupsByOccupationalSeries[[#This Row],[White Male Average Salary]]</f>
        <v>0.96443687413753887</v>
      </c>
      <c r="H124" s="15">
        <f>IFERROR(PayGapsForMalesInRacialEthnicGroupsByOccupationalSeries[[#This Row],[ANHPI Male Employees]]/I$318,"")</f>
        <v>4.1484980620155043E-3</v>
      </c>
      <c r="I124" s="16">
        <v>274</v>
      </c>
      <c r="J124" s="17">
        <v>85883.956043956001</v>
      </c>
      <c r="K124" s="18">
        <f>PayGapsForMalesInRacialEthnicGroupsByOccupationalSeries[[#This Row],[ANHPI Male Avg Salary]]/PayGapsForMalesInRacialEthnicGroupsByOccupationalSeries[[#This Row],[White Male Average Salary]]</f>
        <v>1.0893865194612484</v>
      </c>
      <c r="L124" s="15">
        <f>IFERROR(PayGapsForMalesInRacialEthnicGroupsByOccupationalSeries[[#This Row],[Black Male Employees]]/M$318,"")</f>
        <v>2.9356477222733271E-3</v>
      </c>
      <c r="M124" s="16">
        <v>367</v>
      </c>
      <c r="N124" s="17">
        <v>79693.070844686998</v>
      </c>
      <c r="O124" s="18">
        <f>IFERROR(PayGapsForMalesInRacialEthnicGroupsByOccupationalSeries[[#This Row],[Black Male Avg Salary]]/PayGapsForMalesInRacialEthnicGroupsByOccupationalSeries[[#This Row],[White Male Average Salary]],"")</f>
        <v>1.0108588503799121</v>
      </c>
      <c r="P124" s="15">
        <f>IFERROR(PayGapsForMalesInRacialEthnicGroupsByOccupationalSeries[[#This Row],[Hispanic Latino Male Employees]]/Q$318,"")</f>
        <v>2.3276379049225982E-3</v>
      </c>
      <c r="Q124" s="16">
        <v>229</v>
      </c>
      <c r="R124" s="17">
        <v>78671.445414846996</v>
      </c>
      <c r="S124" s="18">
        <f>IFERROR(PayGapsForMalesInRacialEthnicGroupsByOccupationalSeries[[#This Row],[Hispanic Latino Male Avg Salary]]/PayGapsForMalesInRacialEthnicGroupsByOccupationalSeries[[#This Row],[White Male Average Salary]],"")</f>
        <v>0.99790014397569271</v>
      </c>
      <c r="T124" s="15" t="str">
        <f>IFERROR(PayGapsForMalesInRacialEthnicGroupsByOccupationalSeries[[#This Row],[Other Male Employees]]/U$318,"")</f>
        <v/>
      </c>
      <c r="U124" s="16" t="s">
        <v>0</v>
      </c>
      <c r="V124" s="17" t="s">
        <v>0</v>
      </c>
      <c r="W12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25" spans="1:23" ht="31.2" x14ac:dyDescent="0.3">
      <c r="A125" s="4" t="s">
        <v>135</v>
      </c>
      <c r="B125" s="25">
        <v>87</v>
      </c>
      <c r="C125" s="26">
        <v>105901.804597701</v>
      </c>
      <c r="D125" s="15" t="str">
        <f>IFERROR(PayGapsForMalesInRacialEthnicGroupsByOccupationalSeries[[#This Row],[AIAN Male Employees]]/E$318,"")</f>
        <v/>
      </c>
      <c r="E125" s="16" t="s">
        <v>0</v>
      </c>
      <c r="F125" s="17" t="s">
        <v>0</v>
      </c>
      <c r="G125" s="18" t="s">
        <v>0</v>
      </c>
      <c r="H125" s="15" t="str">
        <f>IFERROR(PayGapsForMalesInRacialEthnicGroupsByOccupationalSeries[[#This Row],[ANHPI Male Employees]]/I$318,"")</f>
        <v/>
      </c>
      <c r="I125" s="16" t="s">
        <v>0</v>
      </c>
      <c r="J125" s="17" t="s">
        <v>0</v>
      </c>
      <c r="K125" s="18" t="s">
        <v>0</v>
      </c>
      <c r="L125" s="15" t="str">
        <f>IFERROR(PayGapsForMalesInRacialEthnicGroupsByOccupationalSeries[[#This Row],[Black Male Employees]]/M$318,"")</f>
        <v/>
      </c>
      <c r="M125" s="16" t="s">
        <v>0</v>
      </c>
      <c r="N125" s="17" t="s">
        <v>0</v>
      </c>
      <c r="O125" s="18" t="str">
        <f>IFERROR(PayGapsForMalesInRacialEthnicGroupsByOccupationalSeries[[#This Row],[Black Male Avg Salary]]/PayGapsForMalesInRacialEthnicGroupsByOccupationalSeries[[#This Row],[White Male Average Salary]],"")</f>
        <v/>
      </c>
      <c r="P125" s="15" t="str">
        <f>IFERROR(PayGapsForMalesInRacialEthnicGroupsByOccupationalSeries[[#This Row],[Hispanic Latino Male Employees]]/Q$318,"")</f>
        <v/>
      </c>
      <c r="Q125" s="16" t="s">
        <v>0</v>
      </c>
      <c r="R125" s="17" t="s">
        <v>0</v>
      </c>
      <c r="S12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25" s="15" t="str">
        <f>IFERROR(PayGapsForMalesInRacialEthnicGroupsByOccupationalSeries[[#This Row],[Other Male Employees]]/U$318,"")</f>
        <v/>
      </c>
      <c r="U125" s="16" t="s">
        <v>0</v>
      </c>
      <c r="V125" s="17" t="s">
        <v>0</v>
      </c>
      <c r="W12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26" spans="1:23" ht="15.6" x14ac:dyDescent="0.3">
      <c r="A126" s="4" t="s">
        <v>136</v>
      </c>
      <c r="B126" s="25">
        <v>699</v>
      </c>
      <c r="C126" s="26">
        <v>67787.763610315</v>
      </c>
      <c r="D126" s="15" t="str">
        <f>IFERROR(PayGapsForMalesInRacialEthnicGroupsByOccupationalSeries[[#This Row],[AIAN Male Employees]]/E$318,"")</f>
        <v/>
      </c>
      <c r="E126" s="16" t="s">
        <v>0</v>
      </c>
      <c r="F126" s="17" t="s">
        <v>0</v>
      </c>
      <c r="G126" s="18" t="s">
        <v>0</v>
      </c>
      <c r="H126" s="15">
        <f>IFERROR(PayGapsForMalesInRacialEthnicGroupsByOccupationalSeries[[#This Row],[ANHPI Male Employees]]/I$318,"")</f>
        <v>2.8464147286821704E-3</v>
      </c>
      <c r="I126" s="16">
        <v>188</v>
      </c>
      <c r="J126" s="17">
        <v>69341.021390373993</v>
      </c>
      <c r="K126" s="18">
        <f>PayGapsForMalesInRacialEthnicGroupsByOccupationalSeries[[#This Row],[ANHPI Male Avg Salary]]/PayGapsForMalesInRacialEthnicGroupsByOccupationalSeries[[#This Row],[White Male Average Salary]]</f>
        <v>1.0229135421694697</v>
      </c>
      <c r="L126" s="15">
        <f>IFERROR(PayGapsForMalesInRacialEthnicGroupsByOccupationalSeries[[#This Row],[Black Male Employees]]/M$318,"")</f>
        <v>2.7916650001999759E-3</v>
      </c>
      <c r="M126" s="16">
        <v>349</v>
      </c>
      <c r="N126" s="17">
        <v>62412.687679082999</v>
      </c>
      <c r="O126" s="18">
        <f>IFERROR(PayGapsForMalesInRacialEthnicGroupsByOccupationalSeries[[#This Row],[Black Male Avg Salary]]/PayGapsForMalesInRacialEthnicGroupsByOccupationalSeries[[#This Row],[White Male Average Salary]],"")</f>
        <v>0.92070728336560592</v>
      </c>
      <c r="P126" s="15">
        <f>IFERROR(PayGapsForMalesInRacialEthnicGroupsByOccupationalSeries[[#This Row],[Hispanic Latino Male Employees]]/Q$318,"")</f>
        <v>2.3987884085665207E-3</v>
      </c>
      <c r="Q126" s="16">
        <v>236</v>
      </c>
      <c r="R126" s="17">
        <v>66054.753191488999</v>
      </c>
      <c r="S126" s="18">
        <f>IFERROR(PayGapsForMalesInRacialEthnicGroupsByOccupationalSeries[[#This Row],[Hispanic Latino Male Avg Salary]]/PayGapsForMalesInRacialEthnicGroupsByOccupationalSeries[[#This Row],[White Male Average Salary]],"")</f>
        <v>0.97443476039734267</v>
      </c>
      <c r="T126" s="15" t="str">
        <f>IFERROR(PayGapsForMalesInRacialEthnicGroupsByOccupationalSeries[[#This Row],[Other Male Employees]]/U$318,"")</f>
        <v/>
      </c>
      <c r="U126" s="16" t="s">
        <v>0</v>
      </c>
      <c r="V126" s="17" t="s">
        <v>0</v>
      </c>
      <c r="W12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27" spans="1:23" ht="15.6" x14ac:dyDescent="0.3">
      <c r="A127" s="4" t="s">
        <v>137</v>
      </c>
      <c r="B127" s="25">
        <v>71</v>
      </c>
      <c r="C127" s="26">
        <v>68144.887323944</v>
      </c>
      <c r="D127" s="15" t="str">
        <f>IFERROR(PayGapsForMalesInRacialEthnicGroupsByOccupationalSeries[[#This Row],[AIAN Male Employees]]/E$318,"")</f>
        <v/>
      </c>
      <c r="E127" s="16" t="s">
        <v>0</v>
      </c>
      <c r="F127" s="17" t="s">
        <v>0</v>
      </c>
      <c r="G127" s="18" t="s">
        <v>0</v>
      </c>
      <c r="H127" s="15" t="str">
        <f>IFERROR(PayGapsForMalesInRacialEthnicGroupsByOccupationalSeries[[#This Row],[ANHPI Male Employees]]/I$318,"")</f>
        <v/>
      </c>
      <c r="I127" s="16" t="s">
        <v>0</v>
      </c>
      <c r="J127" s="17" t="s">
        <v>0</v>
      </c>
      <c r="K127" s="18" t="s">
        <v>0</v>
      </c>
      <c r="L127" s="15" t="str">
        <f>IFERROR(PayGapsForMalesInRacialEthnicGroupsByOccupationalSeries[[#This Row],[Black Male Employees]]/M$318,"")</f>
        <v/>
      </c>
      <c r="M127" s="16" t="s">
        <v>0</v>
      </c>
      <c r="N127" s="17" t="s">
        <v>0</v>
      </c>
      <c r="O127" s="18" t="str">
        <f>IFERROR(PayGapsForMalesInRacialEthnicGroupsByOccupationalSeries[[#This Row],[Black Male Avg Salary]]/PayGapsForMalesInRacialEthnicGroupsByOccupationalSeries[[#This Row],[White Male Average Salary]],"")</f>
        <v/>
      </c>
      <c r="P127" s="15" t="str">
        <f>IFERROR(PayGapsForMalesInRacialEthnicGroupsByOccupationalSeries[[#This Row],[Hispanic Latino Male Employees]]/Q$318,"")</f>
        <v/>
      </c>
      <c r="Q127" s="16" t="s">
        <v>0</v>
      </c>
      <c r="R127" s="17" t="s">
        <v>0</v>
      </c>
      <c r="S12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27" s="15" t="str">
        <f>IFERROR(PayGapsForMalesInRacialEthnicGroupsByOccupationalSeries[[#This Row],[Other Male Employees]]/U$318,"")</f>
        <v/>
      </c>
      <c r="U127" s="16" t="s">
        <v>0</v>
      </c>
      <c r="V127" s="17" t="s">
        <v>0</v>
      </c>
      <c r="W12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28" spans="1:23" ht="15.6" x14ac:dyDescent="0.3">
      <c r="A128" s="4" t="s">
        <v>138</v>
      </c>
      <c r="B128" s="25">
        <v>2759</v>
      </c>
      <c r="C128" s="26">
        <v>142917.68084332999</v>
      </c>
      <c r="D128" s="15">
        <f>IFERROR(PayGapsForMalesInRacialEthnicGroupsByOccupationalSeries[[#This Row],[AIAN Male Employees]]/E$318,"")</f>
        <v>5.6008146639511197E-3</v>
      </c>
      <c r="E128" s="16">
        <v>55</v>
      </c>
      <c r="F128" s="17">
        <v>132460.79999999999</v>
      </c>
      <c r="G128" s="18">
        <f>PayGapsForMalesInRacialEthnicGroupsByOccupationalSeries[[#This Row],[AIAN Male Avg Salary]]/PayGapsForMalesInRacialEthnicGroupsByOccupationalSeries[[#This Row],[White Male Average Salary]]</f>
        <v>0.92683283984440601</v>
      </c>
      <c r="H128" s="15">
        <f>IFERROR(PayGapsForMalesInRacialEthnicGroupsByOccupationalSeries[[#This Row],[ANHPI Male Employees]]/I$318,"")</f>
        <v>1.0431807170542635E-2</v>
      </c>
      <c r="I128" s="16">
        <v>689</v>
      </c>
      <c r="J128" s="17">
        <v>141134.55523255799</v>
      </c>
      <c r="K128" s="18">
        <f>PayGapsForMalesInRacialEthnicGroupsByOccupationalSeries[[#This Row],[ANHPI Male Avg Salary]]/PayGapsForMalesInRacialEthnicGroupsByOccupationalSeries[[#This Row],[White Male Average Salary]]</f>
        <v>0.98752340787892645</v>
      </c>
      <c r="L128" s="15">
        <f>IFERROR(PayGapsForMalesInRacialEthnicGroupsByOccupationalSeries[[#This Row],[Black Male Employees]]/M$318,"")</f>
        <v>2.3197216334039914E-3</v>
      </c>
      <c r="M128" s="16">
        <v>290</v>
      </c>
      <c r="N128" s="17">
        <v>137908.73958333299</v>
      </c>
      <c r="O128" s="18">
        <f>IFERROR(PayGapsForMalesInRacialEthnicGroupsByOccupationalSeries[[#This Row],[Black Male Avg Salary]]/PayGapsForMalesInRacialEthnicGroupsByOccupationalSeries[[#This Row],[White Male Average Salary]],"")</f>
        <v>0.96495226321585836</v>
      </c>
      <c r="P128" s="15">
        <f>IFERROR(PayGapsForMalesInRacialEthnicGroupsByOccupationalSeries[[#This Row],[Hispanic Latino Male Employees]]/Q$318,"")</f>
        <v>1.4331744305418619E-3</v>
      </c>
      <c r="Q128" s="16">
        <v>141</v>
      </c>
      <c r="R128" s="17">
        <v>141938.157142857</v>
      </c>
      <c r="S128" s="18">
        <f>IFERROR(PayGapsForMalesInRacialEthnicGroupsByOccupationalSeries[[#This Row],[Hispanic Latino Male Avg Salary]]/PayGapsForMalesInRacialEthnicGroupsByOccupationalSeries[[#This Row],[White Male Average Salary]],"")</f>
        <v>0.99314623848712769</v>
      </c>
      <c r="T128" s="15">
        <f>IFERROR(PayGapsForMalesInRacialEthnicGroupsByOccupationalSeries[[#This Row],[Other Male Employees]]/U$318,"")</f>
        <v>2.4254309010217773E-3</v>
      </c>
      <c r="U128" s="16">
        <v>47</v>
      </c>
      <c r="V128" s="17">
        <v>143815.63829787201</v>
      </c>
      <c r="W128" s="18">
        <f>IFERROR(PayGapsForMalesInRacialEthnicGroupsByOccupationalSeries[[#This Row],[Other Male Avg Salary]]/PayGapsForMalesInRacialEthnicGroupsByOccupationalSeries[[#This Row],[White Male Average Salary]],"")</f>
        <v>1.006283039643824</v>
      </c>
    </row>
    <row r="129" spans="1:23" ht="15.6" x14ac:dyDescent="0.3">
      <c r="A129" s="4" t="s">
        <v>139</v>
      </c>
      <c r="B129" s="25">
        <v>750</v>
      </c>
      <c r="C129" s="26">
        <v>51241.270666666998</v>
      </c>
      <c r="D129" s="15">
        <f>IFERROR(PayGapsForMalesInRacialEthnicGroupsByOccupationalSeries[[#This Row],[AIAN Male Employees]]/E$318,"")</f>
        <v>6.1099796334012219E-3</v>
      </c>
      <c r="E129" s="16">
        <v>60</v>
      </c>
      <c r="F129" s="17">
        <v>49459.033333332998</v>
      </c>
      <c r="G129" s="18">
        <f>PayGapsForMalesInRacialEthnicGroupsByOccupationalSeries[[#This Row],[AIAN Male Avg Salary]]/PayGapsForMalesInRacialEthnicGroupsByOccupationalSeries[[#This Row],[White Male Average Salary]]</f>
        <v>0.96521871315550012</v>
      </c>
      <c r="H129" s="15">
        <f>IFERROR(PayGapsForMalesInRacialEthnicGroupsByOccupationalSeries[[#This Row],[ANHPI Male Employees]]/I$318,"")</f>
        <v>3.6942829457364342E-3</v>
      </c>
      <c r="I129" s="16">
        <v>244</v>
      </c>
      <c r="J129" s="17">
        <v>56569.670781893001</v>
      </c>
      <c r="K129" s="18">
        <f>PayGapsForMalesInRacialEthnicGroupsByOccupationalSeries[[#This Row],[ANHPI Male Avg Salary]]/PayGapsForMalesInRacialEthnicGroupsByOccupationalSeries[[#This Row],[White Male Average Salary]]</f>
        <v>1.1039864945951112</v>
      </c>
      <c r="L129" s="15">
        <f>IFERROR(PayGapsForMalesInRacialEthnicGroupsByOccupationalSeries[[#This Row],[Black Male Employees]]/M$318,"")</f>
        <v>2.423709154901412E-3</v>
      </c>
      <c r="M129" s="16">
        <v>303</v>
      </c>
      <c r="N129" s="17">
        <v>52195.682119204997</v>
      </c>
      <c r="O129" s="18">
        <f>IFERROR(PayGapsForMalesInRacialEthnicGroupsByOccupationalSeries[[#This Row],[Black Male Avg Salary]]/PayGapsForMalesInRacialEthnicGroupsByOccupationalSeries[[#This Row],[White Male Average Salary]],"")</f>
        <v>1.0186258349982498</v>
      </c>
      <c r="P129" s="15">
        <f>IFERROR(PayGapsForMalesInRacialEthnicGroupsByOccupationalSeries[[#This Row],[Hispanic Latino Male Employees]]/Q$318,"")</f>
        <v>2.144679466981084E-3</v>
      </c>
      <c r="Q129" s="16">
        <v>211</v>
      </c>
      <c r="R129" s="17">
        <v>52621.739336493003</v>
      </c>
      <c r="S129" s="18">
        <f>IFERROR(PayGapsForMalesInRacialEthnicGroupsByOccupationalSeries[[#This Row],[Hispanic Latino Male Avg Salary]]/PayGapsForMalesInRacialEthnicGroupsByOccupationalSeries[[#This Row],[White Male Average Salary]],"")</f>
        <v>1.0269405627898298</v>
      </c>
      <c r="T129" s="15">
        <f>IFERROR(PayGapsForMalesInRacialEthnicGroupsByOccupationalSeries[[#This Row],[Other Male Employees]]/U$318,"")</f>
        <v>1.18691299411704E-3</v>
      </c>
      <c r="U129" s="16">
        <v>23</v>
      </c>
      <c r="V129" s="17">
        <v>54179.260869564998</v>
      </c>
      <c r="W129" s="18">
        <f>IFERROR(PayGapsForMalesInRacialEthnicGroupsByOccupationalSeries[[#This Row],[Other Male Avg Salary]]/PayGapsForMalesInRacialEthnicGroupsByOccupationalSeries[[#This Row],[White Male Average Salary]],"")</f>
        <v>1.0573364041264728</v>
      </c>
    </row>
    <row r="130" spans="1:23" ht="15.6" x14ac:dyDescent="0.3">
      <c r="A130" s="4" t="s">
        <v>140</v>
      </c>
      <c r="B130" s="25">
        <v>368</v>
      </c>
      <c r="C130" s="26">
        <v>141480.48641304299</v>
      </c>
      <c r="D130" s="15" t="str">
        <f>IFERROR(PayGapsForMalesInRacialEthnicGroupsByOccupationalSeries[[#This Row],[AIAN Male Employees]]/E$318,"")</f>
        <v/>
      </c>
      <c r="E130" s="16" t="s">
        <v>0</v>
      </c>
      <c r="F130" s="17" t="s">
        <v>0</v>
      </c>
      <c r="G130" s="18" t="s">
        <v>0</v>
      </c>
      <c r="H130" s="15">
        <f>IFERROR(PayGapsForMalesInRacialEthnicGroupsByOccupationalSeries[[#This Row],[ANHPI Male Employees]]/I$318,"")</f>
        <v>7.8730620155038759E-4</v>
      </c>
      <c r="I130" s="16">
        <v>52</v>
      </c>
      <c r="J130" s="17">
        <v>145557.01923076899</v>
      </c>
      <c r="K130" s="18">
        <f>PayGapsForMalesInRacialEthnicGroupsByOccupationalSeries[[#This Row],[ANHPI Male Avg Salary]]/PayGapsForMalesInRacialEthnicGroupsByOccupationalSeries[[#This Row],[White Male Average Salary]]</f>
        <v>1.0288133927234659</v>
      </c>
      <c r="L130" s="15" t="str">
        <f>IFERROR(PayGapsForMalesInRacialEthnicGroupsByOccupationalSeries[[#This Row],[Black Male Employees]]/M$318,"")</f>
        <v/>
      </c>
      <c r="M130" s="16" t="s">
        <v>0</v>
      </c>
      <c r="N130" s="17" t="s">
        <v>0</v>
      </c>
      <c r="O130" s="18" t="str">
        <f>IFERROR(PayGapsForMalesInRacialEthnicGroupsByOccupationalSeries[[#This Row],[Black Male Avg Salary]]/PayGapsForMalesInRacialEthnicGroupsByOccupationalSeries[[#This Row],[White Male Average Salary]],"")</f>
        <v/>
      </c>
      <c r="P130" s="15" t="str">
        <f>IFERROR(PayGapsForMalesInRacialEthnicGroupsByOccupationalSeries[[#This Row],[Hispanic Latino Male Employees]]/Q$318,"")</f>
        <v/>
      </c>
      <c r="Q130" s="16" t="s">
        <v>0</v>
      </c>
      <c r="R130" s="17" t="s">
        <v>0</v>
      </c>
      <c r="S13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30" s="15" t="str">
        <f>IFERROR(PayGapsForMalesInRacialEthnicGroupsByOccupationalSeries[[#This Row],[Other Male Employees]]/U$318,"")</f>
        <v/>
      </c>
      <c r="U130" s="16" t="s">
        <v>0</v>
      </c>
      <c r="V130" s="17" t="s">
        <v>0</v>
      </c>
      <c r="W13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31" spans="1:23" ht="31.2" x14ac:dyDescent="0.3">
      <c r="A131" s="4" t="s">
        <v>141</v>
      </c>
      <c r="B131" s="25">
        <v>310</v>
      </c>
      <c r="C131" s="26">
        <v>105622.680645161</v>
      </c>
      <c r="D131" s="15" t="str">
        <f>IFERROR(PayGapsForMalesInRacialEthnicGroupsByOccupationalSeries[[#This Row],[AIAN Male Employees]]/E$318,"")</f>
        <v/>
      </c>
      <c r="E131" s="16" t="s">
        <v>0</v>
      </c>
      <c r="F131" s="17" t="s">
        <v>0</v>
      </c>
      <c r="G131" s="18" t="s">
        <v>0</v>
      </c>
      <c r="H131" s="15" t="str">
        <f>IFERROR(PayGapsForMalesInRacialEthnicGroupsByOccupationalSeries[[#This Row],[ANHPI Male Employees]]/I$318,"")</f>
        <v/>
      </c>
      <c r="I131" s="16" t="s">
        <v>0</v>
      </c>
      <c r="J131" s="17" t="s">
        <v>0</v>
      </c>
      <c r="K131" s="18" t="s">
        <v>0</v>
      </c>
      <c r="L131" s="15">
        <f>IFERROR(PayGapsForMalesInRacialEthnicGroupsByOccupationalSeries[[#This Row],[Black Male Employees]]/M$318,"")</f>
        <v>7.1991361036675595E-5</v>
      </c>
      <c r="M131" s="16">
        <v>9</v>
      </c>
      <c r="N131" s="17">
        <v>116868.777777778</v>
      </c>
      <c r="O131" s="18">
        <f>IFERROR(PayGapsForMalesInRacialEthnicGroupsByOccupationalSeries[[#This Row],[Black Male Avg Salary]]/PayGapsForMalesInRacialEthnicGroupsByOccupationalSeries[[#This Row],[White Male Average Salary]],"")</f>
        <v>1.1064742635191982</v>
      </c>
      <c r="P131" s="15" t="str">
        <f>IFERROR(PayGapsForMalesInRacialEthnicGroupsByOccupationalSeries[[#This Row],[Hispanic Latino Male Employees]]/Q$318,"")</f>
        <v/>
      </c>
      <c r="Q131" s="16" t="s">
        <v>0</v>
      </c>
      <c r="R131" s="17" t="s">
        <v>0</v>
      </c>
      <c r="S13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31" s="15" t="str">
        <f>IFERROR(PayGapsForMalesInRacialEthnicGroupsByOccupationalSeries[[#This Row],[Other Male Employees]]/U$318,"")</f>
        <v/>
      </c>
      <c r="U131" s="16" t="s">
        <v>0</v>
      </c>
      <c r="V131" s="17" t="s">
        <v>0</v>
      </c>
      <c r="W13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32" spans="1:23" ht="15.6" x14ac:dyDescent="0.3">
      <c r="A132" s="4" t="s">
        <v>142</v>
      </c>
      <c r="B132" s="25">
        <v>226</v>
      </c>
      <c r="C132" s="26">
        <v>93766.486725663999</v>
      </c>
      <c r="D132" s="15" t="str">
        <f>IFERROR(PayGapsForMalesInRacialEthnicGroupsByOccupationalSeries[[#This Row],[AIAN Male Employees]]/E$318,"")</f>
        <v/>
      </c>
      <c r="E132" s="16" t="s">
        <v>0</v>
      </c>
      <c r="F132" s="17" t="s">
        <v>0</v>
      </c>
      <c r="G132" s="18" t="s">
        <v>0</v>
      </c>
      <c r="H132" s="15" t="str">
        <f>IFERROR(PayGapsForMalesInRacialEthnicGroupsByOccupationalSeries[[#This Row],[ANHPI Male Employees]]/I$318,"")</f>
        <v/>
      </c>
      <c r="I132" s="16" t="s">
        <v>0</v>
      </c>
      <c r="J132" s="17" t="s">
        <v>0</v>
      </c>
      <c r="K132" s="18" t="s">
        <v>0</v>
      </c>
      <c r="L132" s="15" t="str">
        <f>IFERROR(PayGapsForMalesInRacialEthnicGroupsByOccupationalSeries[[#This Row],[Black Male Employees]]/M$318,"")</f>
        <v/>
      </c>
      <c r="M132" s="16" t="s">
        <v>0</v>
      </c>
      <c r="N132" s="17" t="s">
        <v>0</v>
      </c>
      <c r="O132" s="18" t="str">
        <f>IFERROR(PayGapsForMalesInRacialEthnicGroupsByOccupationalSeries[[#This Row],[Black Male Avg Salary]]/PayGapsForMalesInRacialEthnicGroupsByOccupationalSeries[[#This Row],[White Male Average Salary]],"")</f>
        <v/>
      </c>
      <c r="P132" s="15" t="str">
        <f>IFERROR(PayGapsForMalesInRacialEthnicGroupsByOccupationalSeries[[#This Row],[Hispanic Latino Male Employees]]/Q$318,"")</f>
        <v/>
      </c>
      <c r="Q132" s="16" t="s">
        <v>0</v>
      </c>
      <c r="R132" s="17" t="s">
        <v>0</v>
      </c>
      <c r="S13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32" s="15" t="str">
        <f>IFERROR(PayGapsForMalesInRacialEthnicGroupsByOccupationalSeries[[#This Row],[Other Male Employees]]/U$318,"")</f>
        <v/>
      </c>
      <c r="U132" s="16" t="s">
        <v>0</v>
      </c>
      <c r="V132" s="17" t="s">
        <v>0</v>
      </c>
      <c r="W13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33" spans="1:23" ht="15.6" x14ac:dyDescent="0.3">
      <c r="A133" s="4" t="s">
        <v>143</v>
      </c>
      <c r="B133" s="25">
        <v>263</v>
      </c>
      <c r="C133" s="26">
        <v>197674.43346007599</v>
      </c>
      <c r="D133" s="15" t="str">
        <f>IFERROR(PayGapsForMalesInRacialEthnicGroupsByOccupationalSeries[[#This Row],[AIAN Male Employees]]/E$318,"")</f>
        <v/>
      </c>
      <c r="E133" s="16" t="s">
        <v>0</v>
      </c>
      <c r="F133" s="17" t="s">
        <v>0</v>
      </c>
      <c r="G133" s="18" t="s">
        <v>0</v>
      </c>
      <c r="H133" s="15" t="str">
        <f>IFERROR(PayGapsForMalesInRacialEthnicGroupsByOccupationalSeries[[#This Row],[ANHPI Male Employees]]/I$318,"")</f>
        <v/>
      </c>
      <c r="I133" s="16" t="s">
        <v>0</v>
      </c>
      <c r="J133" s="17" t="s">
        <v>0</v>
      </c>
      <c r="K133" s="18" t="s">
        <v>0</v>
      </c>
      <c r="L133" s="15" t="str">
        <f>IFERROR(PayGapsForMalesInRacialEthnicGroupsByOccupationalSeries[[#This Row],[Black Male Employees]]/M$318,"")</f>
        <v/>
      </c>
      <c r="M133" s="16" t="s">
        <v>0</v>
      </c>
      <c r="N133" s="17" t="s">
        <v>0</v>
      </c>
      <c r="O133" s="18" t="str">
        <f>IFERROR(PayGapsForMalesInRacialEthnicGroupsByOccupationalSeries[[#This Row],[Black Male Avg Salary]]/PayGapsForMalesInRacialEthnicGroupsByOccupationalSeries[[#This Row],[White Male Average Salary]],"")</f>
        <v/>
      </c>
      <c r="P133" s="15" t="str">
        <f>IFERROR(PayGapsForMalesInRacialEthnicGroupsByOccupationalSeries[[#This Row],[Hispanic Latino Male Employees]]/Q$318,"")</f>
        <v/>
      </c>
      <c r="Q133" s="16" t="s">
        <v>0</v>
      </c>
      <c r="R133" s="17" t="s">
        <v>0</v>
      </c>
      <c r="S13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33" s="15" t="str">
        <f>IFERROR(PayGapsForMalesInRacialEthnicGroupsByOccupationalSeries[[#This Row],[Other Male Employees]]/U$318,"")</f>
        <v/>
      </c>
      <c r="U133" s="16" t="s">
        <v>0</v>
      </c>
      <c r="V133" s="17" t="s">
        <v>0</v>
      </c>
      <c r="W13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34" spans="1:23" ht="15.6" x14ac:dyDescent="0.3">
      <c r="A134" s="4" t="s">
        <v>144</v>
      </c>
      <c r="B134" s="25">
        <v>55</v>
      </c>
      <c r="C134" s="26">
        <v>85279.963636364002</v>
      </c>
      <c r="D134" s="15" t="str">
        <f>IFERROR(PayGapsForMalesInRacialEthnicGroupsByOccupationalSeries[[#This Row],[AIAN Male Employees]]/E$318,"")</f>
        <v/>
      </c>
      <c r="E134" s="16" t="s">
        <v>0</v>
      </c>
      <c r="F134" s="17" t="s">
        <v>0</v>
      </c>
      <c r="G134" s="18" t="s">
        <v>0</v>
      </c>
      <c r="H134" s="15" t="str">
        <f>IFERROR(PayGapsForMalesInRacialEthnicGroupsByOccupationalSeries[[#This Row],[ANHPI Male Employees]]/I$318,"")</f>
        <v/>
      </c>
      <c r="I134" s="16" t="s">
        <v>0</v>
      </c>
      <c r="J134" s="17" t="s">
        <v>0</v>
      </c>
      <c r="K134" s="18" t="s">
        <v>0</v>
      </c>
      <c r="L134" s="15">
        <f>IFERROR(PayGapsForMalesInRacialEthnicGroupsByOccupationalSeries[[#This Row],[Black Male Employees]]/M$318,"")</f>
        <v>2.7196736391633003E-4</v>
      </c>
      <c r="M134" s="16">
        <v>34</v>
      </c>
      <c r="N134" s="17">
        <v>86829.852941175996</v>
      </c>
      <c r="O134" s="18">
        <f>IFERROR(PayGapsForMalesInRacialEthnicGroupsByOccupationalSeries[[#This Row],[Black Male Avg Salary]]/PayGapsForMalesInRacialEthnicGroupsByOccupationalSeries[[#This Row],[White Male Average Salary]],"")</f>
        <v>1.0181741318678414</v>
      </c>
      <c r="P134" s="15" t="str">
        <f>IFERROR(PayGapsForMalesInRacialEthnicGroupsByOccupationalSeries[[#This Row],[Hispanic Latino Male Employees]]/Q$318,"")</f>
        <v/>
      </c>
      <c r="Q134" s="16" t="s">
        <v>0</v>
      </c>
      <c r="R134" s="17" t="s">
        <v>0</v>
      </c>
      <c r="S13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34" s="15" t="str">
        <f>IFERROR(PayGapsForMalesInRacialEthnicGroupsByOccupationalSeries[[#This Row],[Other Male Employees]]/U$318,"")</f>
        <v/>
      </c>
      <c r="U134" s="16" t="s">
        <v>0</v>
      </c>
      <c r="V134" s="17" t="s">
        <v>0</v>
      </c>
      <c r="W13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35" spans="1:23" ht="15.6" x14ac:dyDescent="0.3">
      <c r="A135" s="4" t="s">
        <v>145</v>
      </c>
      <c r="B135" s="25">
        <v>293</v>
      </c>
      <c r="C135" s="26">
        <v>147545.38225256</v>
      </c>
      <c r="D135" s="15" t="str">
        <f>IFERROR(PayGapsForMalesInRacialEthnicGroupsByOccupationalSeries[[#This Row],[AIAN Male Employees]]/E$318,"")</f>
        <v/>
      </c>
      <c r="E135" s="16" t="s">
        <v>0</v>
      </c>
      <c r="F135" s="17" t="s">
        <v>0</v>
      </c>
      <c r="G135" s="18" t="s">
        <v>0</v>
      </c>
      <c r="H135" s="15" t="str">
        <f>IFERROR(PayGapsForMalesInRacialEthnicGroupsByOccupationalSeries[[#This Row],[ANHPI Male Employees]]/I$318,"")</f>
        <v/>
      </c>
      <c r="I135" s="16" t="s">
        <v>0</v>
      </c>
      <c r="J135" s="17" t="s">
        <v>0</v>
      </c>
      <c r="K135" s="18" t="s">
        <v>0</v>
      </c>
      <c r="L135" s="15" t="str">
        <f>IFERROR(PayGapsForMalesInRacialEthnicGroupsByOccupationalSeries[[#This Row],[Black Male Employees]]/M$318,"")</f>
        <v/>
      </c>
      <c r="M135" s="16" t="s">
        <v>0</v>
      </c>
      <c r="N135" s="17" t="s">
        <v>0</v>
      </c>
      <c r="O135" s="18" t="str">
        <f>IFERROR(PayGapsForMalesInRacialEthnicGroupsByOccupationalSeries[[#This Row],[Black Male Avg Salary]]/PayGapsForMalesInRacialEthnicGroupsByOccupationalSeries[[#This Row],[White Male Average Salary]],"")</f>
        <v/>
      </c>
      <c r="P135" s="15" t="str">
        <f>IFERROR(PayGapsForMalesInRacialEthnicGroupsByOccupationalSeries[[#This Row],[Hispanic Latino Male Employees]]/Q$318,"")</f>
        <v/>
      </c>
      <c r="Q135" s="16" t="s">
        <v>0</v>
      </c>
      <c r="R135" s="17" t="s">
        <v>0</v>
      </c>
      <c r="S13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35" s="15" t="str">
        <f>IFERROR(PayGapsForMalesInRacialEthnicGroupsByOccupationalSeries[[#This Row],[Other Male Employees]]/U$318,"")</f>
        <v/>
      </c>
      <c r="U135" s="16" t="s">
        <v>0</v>
      </c>
      <c r="V135" s="17" t="s">
        <v>0</v>
      </c>
      <c r="W13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36" spans="1:23" ht="15.6" x14ac:dyDescent="0.3">
      <c r="A136" s="4" t="s">
        <v>146</v>
      </c>
      <c r="B136" s="25">
        <v>1522</v>
      </c>
      <c r="C136" s="26">
        <v>98519.248026315996</v>
      </c>
      <c r="D136" s="15">
        <f>IFERROR(PayGapsForMalesInRacialEthnicGroupsByOccupationalSeries[[#This Row],[AIAN Male Employees]]/E$318,"")</f>
        <v>6.0081466395112016E-3</v>
      </c>
      <c r="E136" s="16">
        <v>59</v>
      </c>
      <c r="F136" s="17">
        <v>98733.898305084993</v>
      </c>
      <c r="G136" s="18">
        <f>PayGapsForMalesInRacialEthnicGroupsByOccupationalSeries[[#This Row],[AIAN Male Avg Salary]]/PayGapsForMalesInRacialEthnicGroupsByOccupationalSeries[[#This Row],[White Male Average Salary]]</f>
        <v>1.0021787648918277</v>
      </c>
      <c r="H136" s="15">
        <f>IFERROR(PayGapsForMalesInRacialEthnicGroupsByOccupationalSeries[[#This Row],[ANHPI Male Employees]]/I$318,"")</f>
        <v>2.2559350775193799E-3</v>
      </c>
      <c r="I136" s="16">
        <v>149</v>
      </c>
      <c r="J136" s="17">
        <v>90187.375838926004</v>
      </c>
      <c r="K136" s="18">
        <f>PayGapsForMalesInRacialEthnicGroupsByOccupationalSeries[[#This Row],[ANHPI Male Avg Salary]]/PayGapsForMalesInRacialEthnicGroupsByOccupationalSeries[[#This Row],[White Male Average Salary]]</f>
        <v>0.91542899124479282</v>
      </c>
      <c r="L136" s="15">
        <f>IFERROR(PayGapsForMalesInRacialEthnicGroupsByOccupationalSeries[[#This Row],[Black Male Employees]]/M$318,"")</f>
        <v>4.175498940127185E-3</v>
      </c>
      <c r="M136" s="16">
        <v>522</v>
      </c>
      <c r="N136" s="17">
        <v>90712.756238004004</v>
      </c>
      <c r="O136" s="18">
        <f>IFERROR(PayGapsForMalesInRacialEthnicGroupsByOccupationalSeries[[#This Row],[Black Male Avg Salary]]/PayGapsForMalesInRacialEthnicGroupsByOccupationalSeries[[#This Row],[White Male Average Salary]],"")</f>
        <v>0.92076176031888957</v>
      </c>
      <c r="P136" s="15">
        <f>IFERROR(PayGapsForMalesInRacialEthnicGroupsByOccupationalSeries[[#This Row],[Hispanic Latino Male Employees]]/Q$318,"")</f>
        <v>2.3073091895957636E-3</v>
      </c>
      <c r="Q136" s="16">
        <v>227</v>
      </c>
      <c r="R136" s="17">
        <v>90261.995594713997</v>
      </c>
      <c r="S136" s="18">
        <f>IFERROR(PayGapsForMalesInRacialEthnicGroupsByOccupationalSeries[[#This Row],[Hispanic Latino Male Avg Salary]]/PayGapsForMalesInRacialEthnicGroupsByOccupationalSeries[[#This Row],[White Male Average Salary]],"")</f>
        <v>0.91618640421010566</v>
      </c>
      <c r="T136" s="15">
        <f>IFERROR(PayGapsForMalesInRacialEthnicGroupsByOccupationalSeries[[#This Row],[Other Male Employees]]/U$318,"")</f>
        <v>2.9414800288987512E-3</v>
      </c>
      <c r="U136" s="16">
        <v>57</v>
      </c>
      <c r="V136" s="17">
        <v>90754.421052631995</v>
      </c>
      <c r="W136" s="18">
        <f>IFERROR(PayGapsForMalesInRacialEthnicGroupsByOccupationalSeries[[#This Row],[Other Male Avg Salary]]/PayGapsForMalesInRacialEthnicGroupsByOccupationalSeries[[#This Row],[White Male Average Salary]],"")</f>
        <v>0.92118467071927002</v>
      </c>
    </row>
    <row r="137" spans="1:23" ht="15.6" x14ac:dyDescent="0.3">
      <c r="A137" s="4" t="s">
        <v>147</v>
      </c>
      <c r="B137" s="25">
        <v>200</v>
      </c>
      <c r="C137" s="26">
        <v>86270.085000000006</v>
      </c>
      <c r="D137" s="15" t="str">
        <f>IFERROR(PayGapsForMalesInRacialEthnicGroupsByOccupationalSeries[[#This Row],[AIAN Male Employees]]/E$318,"")</f>
        <v/>
      </c>
      <c r="E137" s="16" t="s">
        <v>0</v>
      </c>
      <c r="F137" s="17" t="s">
        <v>0</v>
      </c>
      <c r="G137" s="18" t="s">
        <v>0</v>
      </c>
      <c r="H137" s="15" t="str">
        <f>IFERROR(PayGapsForMalesInRacialEthnicGroupsByOccupationalSeries[[#This Row],[ANHPI Male Employees]]/I$318,"")</f>
        <v/>
      </c>
      <c r="I137" s="16" t="s">
        <v>0</v>
      </c>
      <c r="J137" s="17" t="s">
        <v>0</v>
      </c>
      <c r="K137" s="18" t="s">
        <v>0</v>
      </c>
      <c r="L137" s="15">
        <f>IFERROR(PayGapsForMalesInRacialEthnicGroupsByOccupationalSeries[[#This Row],[Black Male Employees]]/M$318,"")</f>
        <v>4.7994240691117069E-4</v>
      </c>
      <c r="M137" s="16">
        <v>60</v>
      </c>
      <c r="N137" s="17">
        <v>82450.433333333</v>
      </c>
      <c r="O137" s="18">
        <f>IFERROR(PayGapsForMalesInRacialEthnicGroupsByOccupationalSeries[[#This Row],[Black Male Avg Salary]]/PayGapsForMalesInRacialEthnicGroupsByOccupationalSeries[[#This Row],[White Male Average Salary]],"")</f>
        <v>0.95572449399270898</v>
      </c>
      <c r="P137" s="15" t="str">
        <f>IFERROR(PayGapsForMalesInRacialEthnicGroupsByOccupationalSeries[[#This Row],[Hispanic Latino Male Employees]]/Q$318,"")</f>
        <v/>
      </c>
      <c r="Q137" s="16" t="s">
        <v>0</v>
      </c>
      <c r="R137" s="17" t="s">
        <v>0</v>
      </c>
      <c r="S13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37" s="15" t="str">
        <f>IFERROR(PayGapsForMalesInRacialEthnicGroupsByOccupationalSeries[[#This Row],[Other Male Employees]]/U$318,"")</f>
        <v/>
      </c>
      <c r="U137" s="16" t="s">
        <v>0</v>
      </c>
      <c r="V137" s="17" t="s">
        <v>0</v>
      </c>
      <c r="W13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38" spans="1:23" ht="31.2" x14ac:dyDescent="0.3">
      <c r="A138" s="4" t="s">
        <v>148</v>
      </c>
      <c r="B138" s="25">
        <v>137</v>
      </c>
      <c r="C138" s="26">
        <v>87551.153284671993</v>
      </c>
      <c r="D138" s="15" t="str">
        <f>IFERROR(PayGapsForMalesInRacialEthnicGroupsByOccupationalSeries[[#This Row],[AIAN Male Employees]]/E$318,"")</f>
        <v/>
      </c>
      <c r="E138" s="16" t="s">
        <v>0</v>
      </c>
      <c r="F138" s="17" t="s">
        <v>0</v>
      </c>
      <c r="G138" s="18" t="s">
        <v>0</v>
      </c>
      <c r="H138" s="15" t="str">
        <f>IFERROR(PayGapsForMalesInRacialEthnicGroupsByOccupationalSeries[[#This Row],[ANHPI Male Employees]]/I$318,"")</f>
        <v/>
      </c>
      <c r="I138" s="16" t="s">
        <v>0</v>
      </c>
      <c r="J138" s="17" t="s">
        <v>0</v>
      </c>
      <c r="K138" s="18" t="s">
        <v>0</v>
      </c>
      <c r="L138" s="15">
        <f>IFERROR(PayGapsForMalesInRacialEthnicGroupsByOccupationalSeries[[#This Row],[Black Male Employees]]/M$318,"")</f>
        <v>1.1118665760108787E-3</v>
      </c>
      <c r="M138" s="16">
        <v>139</v>
      </c>
      <c r="N138" s="17">
        <v>89132.712230215999</v>
      </c>
      <c r="O138" s="18">
        <f>IFERROR(PayGapsForMalesInRacialEthnicGroupsByOccupationalSeries[[#This Row],[Black Male Avg Salary]]/PayGapsForMalesInRacialEthnicGroupsByOccupationalSeries[[#This Row],[White Male Average Salary]],"")</f>
        <v>1.0180643987681302</v>
      </c>
      <c r="P138" s="15" t="str">
        <f>IFERROR(PayGapsForMalesInRacialEthnicGroupsByOccupationalSeries[[#This Row],[Hispanic Latino Male Employees]]/Q$318,"")</f>
        <v/>
      </c>
      <c r="Q138" s="16" t="s">
        <v>0</v>
      </c>
      <c r="R138" s="17" t="s">
        <v>0</v>
      </c>
      <c r="S13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38" s="15" t="str">
        <f>IFERROR(PayGapsForMalesInRacialEthnicGroupsByOccupationalSeries[[#This Row],[Other Male Employees]]/U$318,"")</f>
        <v/>
      </c>
      <c r="U138" s="16" t="s">
        <v>0</v>
      </c>
      <c r="V138" s="17" t="s">
        <v>0</v>
      </c>
      <c r="W13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39" spans="1:23" ht="15.6" x14ac:dyDescent="0.3">
      <c r="A139" s="4" t="s">
        <v>149</v>
      </c>
      <c r="B139" s="25">
        <v>331</v>
      </c>
      <c r="C139" s="26">
        <v>52704.362537763998</v>
      </c>
      <c r="D139" s="15">
        <f>IFERROR(PayGapsForMalesInRacialEthnicGroupsByOccupationalSeries[[#This Row],[AIAN Male Employees]]/E$318,"")</f>
        <v>3.564154786150713E-3</v>
      </c>
      <c r="E139" s="16">
        <v>35</v>
      </c>
      <c r="F139" s="17">
        <v>48002.942857143003</v>
      </c>
      <c r="G139" s="18">
        <f>PayGapsForMalesInRacialEthnicGroupsByOccupationalSeries[[#This Row],[AIAN Male Avg Salary]]/PayGapsForMalesInRacialEthnicGroupsByOccupationalSeries[[#This Row],[White Male Average Salary]]</f>
        <v>0.91079638469676372</v>
      </c>
      <c r="H139" s="15">
        <f>IFERROR(PayGapsForMalesInRacialEthnicGroupsByOccupationalSeries[[#This Row],[ANHPI Male Employees]]/I$318,"")</f>
        <v>9.6899224806201549E-4</v>
      </c>
      <c r="I139" s="16">
        <v>64</v>
      </c>
      <c r="J139" s="17">
        <v>54877.78125</v>
      </c>
      <c r="K139" s="18">
        <f>PayGapsForMalesInRacialEthnicGroupsByOccupationalSeries[[#This Row],[ANHPI Male Avg Salary]]/PayGapsForMalesInRacialEthnicGroupsByOccupationalSeries[[#This Row],[White Male Average Salary]]</f>
        <v>1.0412379280876169</v>
      </c>
      <c r="L139" s="15">
        <f>IFERROR(PayGapsForMalesInRacialEthnicGroupsByOccupationalSeries[[#This Row],[Black Male Employees]]/M$318,"")</f>
        <v>1.3678358596968365E-3</v>
      </c>
      <c r="M139" s="16">
        <v>171</v>
      </c>
      <c r="N139" s="17">
        <v>52513.260355029997</v>
      </c>
      <c r="O139" s="18">
        <f>IFERROR(PayGapsForMalesInRacialEthnicGroupsByOccupationalSeries[[#This Row],[Black Male Avg Salary]]/PayGapsForMalesInRacialEthnicGroupsByOccupationalSeries[[#This Row],[White Male Average Salary]],"")</f>
        <v>0.99637407278008394</v>
      </c>
      <c r="P139" s="15">
        <f>IFERROR(PayGapsForMalesInRacialEthnicGroupsByOccupationalSeries[[#This Row],[Hispanic Latino Male Employees]]/Q$318,"")</f>
        <v>7.3183375176605716E-4</v>
      </c>
      <c r="Q139" s="16">
        <v>72</v>
      </c>
      <c r="R139" s="17">
        <v>51585.319444444001</v>
      </c>
      <c r="S139" s="18">
        <f>IFERROR(PayGapsForMalesInRacialEthnicGroupsByOccupationalSeries[[#This Row],[Hispanic Latino Male Avg Salary]]/PayGapsForMalesInRacialEthnicGroupsByOccupationalSeries[[#This Row],[White Male Average Salary]],"")</f>
        <v>0.97876754334106264</v>
      </c>
      <c r="T139" s="15" t="str">
        <f>IFERROR(PayGapsForMalesInRacialEthnicGroupsByOccupationalSeries[[#This Row],[Other Male Employees]]/U$318,"")</f>
        <v/>
      </c>
      <c r="U139" s="16" t="s">
        <v>0</v>
      </c>
      <c r="V139" s="17" t="s">
        <v>0</v>
      </c>
      <c r="W13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40" spans="1:23" ht="15.6" x14ac:dyDescent="0.3">
      <c r="A140" s="4" t="s">
        <v>150</v>
      </c>
      <c r="B140" s="25">
        <v>2937</v>
      </c>
      <c r="C140" s="26">
        <v>47060.867030344001</v>
      </c>
      <c r="D140" s="15">
        <f>IFERROR(PayGapsForMalesInRacialEthnicGroupsByOccupationalSeries[[#This Row],[AIAN Male Employees]]/E$318,"")</f>
        <v>1.4969450101832994E-2</v>
      </c>
      <c r="E140" s="16">
        <v>147</v>
      </c>
      <c r="F140" s="17">
        <v>46030</v>
      </c>
      <c r="G140" s="18">
        <f>PayGapsForMalesInRacialEthnicGroupsByOccupationalSeries[[#This Row],[AIAN Male Avg Salary]]/PayGapsForMalesInRacialEthnicGroupsByOccupationalSeries[[#This Row],[White Male Average Salary]]</f>
        <v>0.97809502681539384</v>
      </c>
      <c r="H140" s="15">
        <f>IFERROR(PayGapsForMalesInRacialEthnicGroupsByOccupationalSeries[[#This Row],[ANHPI Male Employees]]/I$318,"")</f>
        <v>5.7836724806201549E-3</v>
      </c>
      <c r="I140" s="16">
        <v>382</v>
      </c>
      <c r="J140" s="17">
        <v>49536.945026178</v>
      </c>
      <c r="K140" s="18">
        <f>PayGapsForMalesInRacialEthnicGroupsByOccupationalSeries[[#This Row],[ANHPI Male Avg Salary]]/PayGapsForMalesInRacialEthnicGroupsByOccupationalSeries[[#This Row],[White Male Average Salary]]</f>
        <v>1.0526143726641812</v>
      </c>
      <c r="L140" s="15">
        <f>IFERROR(PayGapsForMalesInRacialEthnicGroupsByOccupationalSeries[[#This Row],[Black Male Employees]]/M$318,"")</f>
        <v>1.9741631004279486E-2</v>
      </c>
      <c r="M140" s="16">
        <v>2468</v>
      </c>
      <c r="N140" s="17">
        <v>47307.201462226003</v>
      </c>
      <c r="O140" s="18">
        <f>IFERROR(PayGapsForMalesInRacialEthnicGroupsByOccupationalSeries[[#This Row],[Black Male Avg Salary]]/PayGapsForMalesInRacialEthnicGroupsByOccupationalSeries[[#This Row],[White Male Average Salary]],"")</f>
        <v>1.0052343793777359</v>
      </c>
      <c r="P140" s="15">
        <f>IFERROR(PayGapsForMalesInRacialEthnicGroupsByOccupationalSeries[[#This Row],[Hispanic Latino Male Employees]]/Q$318,"")</f>
        <v>7.338666232987406E-3</v>
      </c>
      <c r="Q140" s="16">
        <v>722</v>
      </c>
      <c r="R140" s="17">
        <v>47114.219444444003</v>
      </c>
      <c r="S140" s="18">
        <f>IFERROR(PayGapsForMalesInRacialEthnicGroupsByOccupationalSeries[[#This Row],[Hispanic Latino Male Avg Salary]]/PayGapsForMalesInRacialEthnicGroupsByOccupationalSeries[[#This Row],[White Male Average Salary]],"")</f>
        <v>1.0011336895698415</v>
      </c>
      <c r="T140" s="15">
        <f>IFERROR(PayGapsForMalesInRacialEthnicGroupsByOccupationalSeries[[#This Row],[Other Male Employees]]/U$318,"")</f>
        <v>5.8313551450098053E-3</v>
      </c>
      <c r="U140" s="16">
        <v>113</v>
      </c>
      <c r="V140" s="17">
        <v>47297.123893805001</v>
      </c>
      <c r="W140" s="18">
        <f>IFERROR(PayGapsForMalesInRacialEthnicGroupsByOccupationalSeries[[#This Row],[Other Male Avg Salary]]/PayGapsForMalesInRacialEthnicGroupsByOccupationalSeries[[#This Row],[White Male Average Salary]],"")</f>
        <v>1.0050202403476474</v>
      </c>
    </row>
    <row r="141" spans="1:23" ht="15.6" x14ac:dyDescent="0.3">
      <c r="A141" s="4" t="s">
        <v>151</v>
      </c>
      <c r="B141" s="25">
        <v>700</v>
      </c>
      <c r="C141" s="26">
        <v>219628.45142857099</v>
      </c>
      <c r="D141" s="15" t="str">
        <f>IFERROR(PayGapsForMalesInRacialEthnicGroupsByOccupationalSeries[[#This Row],[AIAN Male Employees]]/E$318,"")</f>
        <v/>
      </c>
      <c r="E141" s="16" t="s">
        <v>0</v>
      </c>
      <c r="F141" s="17" t="s">
        <v>0</v>
      </c>
      <c r="G141" s="18" t="s">
        <v>0</v>
      </c>
      <c r="H141" s="15">
        <f>IFERROR(PayGapsForMalesInRacialEthnicGroupsByOccupationalSeries[[#This Row],[ANHPI Male Employees]]/I$318,"")</f>
        <v>2.0288275193798451E-3</v>
      </c>
      <c r="I141" s="16">
        <v>134</v>
      </c>
      <c r="J141" s="17">
        <v>217008.925373134</v>
      </c>
      <c r="K141" s="18">
        <f>PayGapsForMalesInRacialEthnicGroupsByOccupationalSeries[[#This Row],[ANHPI Male Avg Salary]]/PayGapsForMalesInRacialEthnicGroupsByOccupationalSeries[[#This Row],[White Male Average Salary]]</f>
        <v>0.98807292025054905</v>
      </c>
      <c r="L141" s="15">
        <f>IFERROR(PayGapsForMalesInRacialEthnicGroupsByOccupationalSeries[[#This Row],[Black Male Employees]]/M$318,"")</f>
        <v>4.4794624645042594E-4</v>
      </c>
      <c r="M141" s="16">
        <v>56</v>
      </c>
      <c r="N141" s="17">
        <v>220782.945454545</v>
      </c>
      <c r="O141" s="18">
        <f>IFERROR(PayGapsForMalesInRacialEthnicGroupsByOccupationalSeries[[#This Row],[Black Male Avg Salary]]/PayGapsForMalesInRacialEthnicGroupsByOccupationalSeries[[#This Row],[White Male Average Salary]],"")</f>
        <v>1.0052565777269047</v>
      </c>
      <c r="P141" s="15">
        <f>IFERROR(PayGapsForMalesInRacialEthnicGroupsByOccupationalSeries[[#This Row],[Hispanic Latino Male Employees]]/Q$318,"")</f>
        <v>8.0298425540997938E-4</v>
      </c>
      <c r="Q141" s="16">
        <v>79</v>
      </c>
      <c r="R141" s="17">
        <v>225083.063291139</v>
      </c>
      <c r="S141" s="18">
        <f>IFERROR(PayGapsForMalesInRacialEthnicGroupsByOccupationalSeries[[#This Row],[Hispanic Latino Male Avg Salary]]/PayGapsForMalesInRacialEthnicGroupsByOccupationalSeries[[#This Row],[White Male Average Salary]],"")</f>
        <v>1.0248356341224854</v>
      </c>
      <c r="T141" s="15" t="str">
        <f>IFERROR(PayGapsForMalesInRacialEthnicGroupsByOccupationalSeries[[#This Row],[Other Male Employees]]/U$318,"")</f>
        <v/>
      </c>
      <c r="U141" s="16" t="s">
        <v>0</v>
      </c>
      <c r="V141" s="17" t="s">
        <v>0</v>
      </c>
      <c r="W14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42" spans="1:23" ht="15.6" x14ac:dyDescent="0.3">
      <c r="A142" s="4" t="s">
        <v>152</v>
      </c>
      <c r="B142" s="25">
        <v>60</v>
      </c>
      <c r="C142" s="26">
        <v>49504.966666667002</v>
      </c>
      <c r="D142" s="15">
        <f>IFERROR(PayGapsForMalesInRacialEthnicGroupsByOccupationalSeries[[#This Row],[AIAN Male Employees]]/E$318,"")</f>
        <v>1.8329938900203666E-3</v>
      </c>
      <c r="E142" s="16">
        <v>18</v>
      </c>
      <c r="F142" s="17">
        <v>43427</v>
      </c>
      <c r="G142" s="18">
        <f>PayGapsForMalesInRacialEthnicGroupsByOccupationalSeries[[#This Row],[AIAN Male Avg Salary]]/PayGapsForMalesInRacialEthnicGroupsByOccupationalSeries[[#This Row],[White Male Average Salary]]</f>
        <v>0.87722511343979037</v>
      </c>
      <c r="H142" s="15">
        <f>IFERROR(PayGapsForMalesInRacialEthnicGroupsByOccupationalSeries[[#This Row],[ANHPI Male Employees]]/I$318,"")</f>
        <v>5.6019864341085273E-4</v>
      </c>
      <c r="I142" s="16">
        <v>37</v>
      </c>
      <c r="J142" s="17">
        <v>52371.675675676001</v>
      </c>
      <c r="K142" s="18">
        <f>PayGapsForMalesInRacialEthnicGroupsByOccupationalSeries[[#This Row],[ANHPI Male Avg Salary]]/PayGapsForMalesInRacialEthnicGroupsByOccupationalSeries[[#This Row],[White Male Average Salary]]</f>
        <v>1.0579075030655303</v>
      </c>
      <c r="L142" s="15">
        <f>IFERROR(PayGapsForMalesInRacialEthnicGroupsByOccupationalSeries[[#This Row],[Black Male Employees]]/M$318,"")</f>
        <v>5.1193856737191538E-4</v>
      </c>
      <c r="M142" s="16">
        <v>64</v>
      </c>
      <c r="N142" s="17">
        <v>50283.84375</v>
      </c>
      <c r="O142" s="18">
        <f>IFERROR(PayGapsForMalesInRacialEthnicGroupsByOccupationalSeries[[#This Row],[Black Male Avg Salary]]/PayGapsForMalesInRacialEthnicGroupsByOccupationalSeries[[#This Row],[White Male Average Salary]],"")</f>
        <v>1.0157333119437779</v>
      </c>
      <c r="P142" s="15">
        <f>IFERROR(PayGapsForMalesInRacialEthnicGroupsByOccupationalSeries[[#This Row],[Hispanic Latino Male Employees]]/Q$318,"")</f>
        <v>3.3542380289277619E-4</v>
      </c>
      <c r="Q142" s="16">
        <v>33</v>
      </c>
      <c r="R142" s="17">
        <v>49711.121212120997</v>
      </c>
      <c r="S142" s="18">
        <f>IFERROR(PayGapsForMalesInRacialEthnicGroupsByOccupationalSeries[[#This Row],[Hispanic Latino Male Avg Salary]]/PayGapsForMalesInRacialEthnicGroupsByOccupationalSeries[[#This Row],[White Male Average Salary]],"")</f>
        <v>1.0041643204578259</v>
      </c>
      <c r="T142" s="15" t="str">
        <f>IFERROR(PayGapsForMalesInRacialEthnicGroupsByOccupationalSeries[[#This Row],[Other Male Employees]]/U$318,"")</f>
        <v/>
      </c>
      <c r="U142" s="16" t="s">
        <v>0</v>
      </c>
      <c r="V142" s="17" t="s">
        <v>0</v>
      </c>
      <c r="W14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43" spans="1:23" ht="15.6" x14ac:dyDescent="0.3">
      <c r="A143" s="4" t="s">
        <v>153</v>
      </c>
      <c r="B143" s="25">
        <v>27</v>
      </c>
      <c r="C143" s="26">
        <v>70290.814814815007</v>
      </c>
      <c r="D143" s="15" t="str">
        <f>IFERROR(PayGapsForMalesInRacialEthnicGroupsByOccupationalSeries[[#This Row],[AIAN Male Employees]]/E$318,"")</f>
        <v/>
      </c>
      <c r="E143" s="16" t="s">
        <v>0</v>
      </c>
      <c r="F143" s="17" t="s">
        <v>0</v>
      </c>
      <c r="G143" s="18" t="s">
        <v>0</v>
      </c>
      <c r="H143" s="15" t="str">
        <f>IFERROR(PayGapsForMalesInRacialEthnicGroupsByOccupationalSeries[[#This Row],[ANHPI Male Employees]]/I$318,"")</f>
        <v/>
      </c>
      <c r="I143" s="16" t="s">
        <v>0</v>
      </c>
      <c r="J143" s="17" t="s">
        <v>0</v>
      </c>
      <c r="K143" s="18" t="s">
        <v>0</v>
      </c>
      <c r="L143" s="15" t="str">
        <f>IFERROR(PayGapsForMalesInRacialEthnicGroupsByOccupationalSeries[[#This Row],[Black Male Employees]]/M$318,"")</f>
        <v/>
      </c>
      <c r="M143" s="16" t="s">
        <v>0</v>
      </c>
      <c r="N143" s="17" t="s">
        <v>0</v>
      </c>
      <c r="O143" s="18" t="str">
        <f>IFERROR(PayGapsForMalesInRacialEthnicGroupsByOccupationalSeries[[#This Row],[Black Male Avg Salary]]/PayGapsForMalesInRacialEthnicGroupsByOccupationalSeries[[#This Row],[White Male Average Salary]],"")</f>
        <v/>
      </c>
      <c r="P143" s="15" t="str">
        <f>IFERROR(PayGapsForMalesInRacialEthnicGroupsByOccupationalSeries[[#This Row],[Hispanic Latino Male Employees]]/Q$318,"")</f>
        <v/>
      </c>
      <c r="Q143" s="16" t="s">
        <v>0</v>
      </c>
      <c r="R143" s="17" t="s">
        <v>0</v>
      </c>
      <c r="S14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43" s="15" t="str">
        <f>IFERROR(PayGapsForMalesInRacialEthnicGroupsByOccupationalSeries[[#This Row],[Other Male Employees]]/U$318,"")</f>
        <v/>
      </c>
      <c r="U143" s="16" t="s">
        <v>0</v>
      </c>
      <c r="V143" s="17" t="s">
        <v>0</v>
      </c>
      <c r="W14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44" spans="1:23" ht="31.2" x14ac:dyDescent="0.3">
      <c r="A144" s="4" t="s">
        <v>154</v>
      </c>
      <c r="B144" s="25">
        <v>203</v>
      </c>
      <c r="C144" s="26">
        <v>65626.089108910994</v>
      </c>
      <c r="D144" s="15" t="str">
        <f>IFERROR(PayGapsForMalesInRacialEthnicGroupsByOccupationalSeries[[#This Row],[AIAN Male Employees]]/E$318,"")</f>
        <v/>
      </c>
      <c r="E144" s="16" t="s">
        <v>0</v>
      </c>
      <c r="F144" s="17" t="s">
        <v>0</v>
      </c>
      <c r="G144" s="18" t="s">
        <v>0</v>
      </c>
      <c r="H144" s="15" t="str">
        <f>IFERROR(PayGapsForMalesInRacialEthnicGroupsByOccupationalSeries[[#This Row],[ANHPI Male Employees]]/I$318,"")</f>
        <v/>
      </c>
      <c r="I144" s="16" t="s">
        <v>0</v>
      </c>
      <c r="J144" s="17" t="s">
        <v>0</v>
      </c>
      <c r="K144" s="18" t="s">
        <v>0</v>
      </c>
      <c r="L144" s="15" t="str">
        <f>IFERROR(PayGapsForMalesInRacialEthnicGroupsByOccupationalSeries[[#This Row],[Black Male Employees]]/M$318,"")</f>
        <v/>
      </c>
      <c r="M144" s="16" t="s">
        <v>0</v>
      </c>
      <c r="N144" s="17" t="s">
        <v>0</v>
      </c>
      <c r="O144" s="18" t="str">
        <f>IFERROR(PayGapsForMalesInRacialEthnicGroupsByOccupationalSeries[[#This Row],[Black Male Avg Salary]]/PayGapsForMalesInRacialEthnicGroupsByOccupationalSeries[[#This Row],[White Male Average Salary]],"")</f>
        <v/>
      </c>
      <c r="P144" s="15" t="str">
        <f>IFERROR(PayGapsForMalesInRacialEthnicGroupsByOccupationalSeries[[#This Row],[Hispanic Latino Male Employees]]/Q$318,"")</f>
        <v/>
      </c>
      <c r="Q144" s="16" t="s">
        <v>0</v>
      </c>
      <c r="R144" s="17" t="s">
        <v>0</v>
      </c>
      <c r="S14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44" s="15" t="str">
        <f>IFERROR(PayGapsForMalesInRacialEthnicGroupsByOccupationalSeries[[#This Row],[Other Male Employees]]/U$318,"")</f>
        <v/>
      </c>
      <c r="U144" s="16" t="s">
        <v>0</v>
      </c>
      <c r="V144" s="17" t="s">
        <v>0</v>
      </c>
      <c r="W14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45" spans="1:23" ht="31.2" x14ac:dyDescent="0.3">
      <c r="A145" s="4" t="s">
        <v>155</v>
      </c>
      <c r="B145" s="25">
        <v>495</v>
      </c>
      <c r="C145" s="26">
        <v>127208.597165992</v>
      </c>
      <c r="D145" s="15" t="str">
        <f>IFERROR(PayGapsForMalesInRacialEthnicGroupsByOccupationalSeries[[#This Row],[AIAN Male Employees]]/E$318,"")</f>
        <v/>
      </c>
      <c r="E145" s="16" t="s">
        <v>0</v>
      </c>
      <c r="F145" s="17" t="s">
        <v>0</v>
      </c>
      <c r="G145" s="18" t="s">
        <v>0</v>
      </c>
      <c r="H145" s="15">
        <f>IFERROR(PayGapsForMalesInRacialEthnicGroupsByOccupationalSeries[[#This Row],[ANHPI Male Employees]]/I$318,"")</f>
        <v>1.1960998062015503E-3</v>
      </c>
      <c r="I145" s="16">
        <v>79</v>
      </c>
      <c r="J145" s="17">
        <v>115733.544303797</v>
      </c>
      <c r="K145" s="18">
        <f>PayGapsForMalesInRacialEthnicGroupsByOccupationalSeries[[#This Row],[ANHPI Male Avg Salary]]/PayGapsForMalesInRacialEthnicGroupsByOccupationalSeries[[#This Row],[White Male Average Salary]]</f>
        <v>0.90979341712870687</v>
      </c>
      <c r="L145" s="15">
        <f>IFERROR(PayGapsForMalesInRacialEthnicGroupsByOccupationalSeries[[#This Row],[Black Male Employees]]/M$318,"")</f>
        <v>2.3357197136343638E-3</v>
      </c>
      <c r="M145" s="16">
        <v>292</v>
      </c>
      <c r="N145" s="17">
        <v>118456.678082192</v>
      </c>
      <c r="O145" s="18">
        <f>IFERROR(PayGapsForMalesInRacialEthnicGroupsByOccupationalSeries[[#This Row],[Black Male Avg Salary]]/PayGapsForMalesInRacialEthnicGroupsByOccupationalSeries[[#This Row],[White Male Average Salary]],"")</f>
        <v>0.93120025470935897</v>
      </c>
      <c r="P145" s="15">
        <f>IFERROR(PayGapsForMalesInRacialEthnicGroupsByOccupationalSeries[[#This Row],[Hispanic Latino Male Employees]]/Q$318,"")</f>
        <v>4.6756045251720318E-4</v>
      </c>
      <c r="Q145" s="16">
        <v>46</v>
      </c>
      <c r="R145" s="17">
        <v>123224.869565217</v>
      </c>
      <c r="S145" s="18">
        <f>IFERROR(PayGapsForMalesInRacialEthnicGroupsByOccupationalSeries[[#This Row],[Hispanic Latino Male Avg Salary]]/PayGapsForMalesInRacialEthnicGroupsByOccupationalSeries[[#This Row],[White Male Average Salary]],"")</f>
        <v>0.96868350339893528</v>
      </c>
      <c r="T145" s="15" t="str">
        <f>IFERROR(PayGapsForMalesInRacialEthnicGroupsByOccupationalSeries[[#This Row],[Other Male Employees]]/U$318,"")</f>
        <v/>
      </c>
      <c r="U145" s="16" t="s">
        <v>0</v>
      </c>
      <c r="V145" s="17" t="s">
        <v>0</v>
      </c>
      <c r="W14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46" spans="1:23" ht="15.6" x14ac:dyDescent="0.3">
      <c r="A146" s="4" t="s">
        <v>156</v>
      </c>
      <c r="B146" s="25">
        <v>679</v>
      </c>
      <c r="C146" s="26">
        <v>105032.111929308</v>
      </c>
      <c r="D146" s="15" t="str">
        <f>IFERROR(PayGapsForMalesInRacialEthnicGroupsByOccupationalSeries[[#This Row],[AIAN Male Employees]]/E$318,"")</f>
        <v/>
      </c>
      <c r="E146" s="16" t="s">
        <v>0</v>
      </c>
      <c r="F146" s="17" t="s">
        <v>0</v>
      </c>
      <c r="G146" s="18" t="s">
        <v>0</v>
      </c>
      <c r="H146" s="15">
        <f>IFERROR(PayGapsForMalesInRacialEthnicGroupsByOccupationalSeries[[#This Row],[ANHPI Male Employees]]/I$318,"")</f>
        <v>9.3871124031007756E-4</v>
      </c>
      <c r="I146" s="16">
        <v>62</v>
      </c>
      <c r="J146" s="17">
        <v>102053.45161290299</v>
      </c>
      <c r="K146" s="18">
        <f>PayGapsForMalesInRacialEthnicGroupsByOccupationalSeries[[#This Row],[ANHPI Male Avg Salary]]/PayGapsForMalesInRacialEthnicGroupsByOccupationalSeries[[#This Row],[White Male Average Salary]]</f>
        <v>0.97164047964293254</v>
      </c>
      <c r="L146" s="15">
        <f>IFERROR(PayGapsForMalesInRacialEthnicGroupsByOccupationalSeries[[#This Row],[Black Male Employees]]/M$318,"")</f>
        <v>6.7991840979082514E-4</v>
      </c>
      <c r="M146" s="16">
        <v>85</v>
      </c>
      <c r="N146" s="17">
        <v>96324.800000000003</v>
      </c>
      <c r="O146" s="18">
        <f>IFERROR(PayGapsForMalesInRacialEthnicGroupsByOccupationalSeries[[#This Row],[Black Male Avg Salary]]/PayGapsForMalesInRacialEthnicGroupsByOccupationalSeries[[#This Row],[White Male Average Salary]],"")</f>
        <v>0.91709857328996236</v>
      </c>
      <c r="P146" s="15">
        <f>IFERROR(PayGapsForMalesInRacialEthnicGroupsByOccupationalSeries[[#This Row],[Hispanic Latino Male Employees]]/Q$318,"")</f>
        <v>6.0986145980504761E-4</v>
      </c>
      <c r="Q146" s="16">
        <v>60</v>
      </c>
      <c r="R146" s="17">
        <v>97079.933333333</v>
      </c>
      <c r="S146" s="18">
        <f>IFERROR(PayGapsForMalesInRacialEthnicGroupsByOccupationalSeries[[#This Row],[Hispanic Latino Male Avg Salary]]/PayGapsForMalesInRacialEthnicGroupsByOccupationalSeries[[#This Row],[White Male Average Salary]],"")</f>
        <v>0.92428812055757559</v>
      </c>
      <c r="T146" s="15" t="str">
        <f>IFERROR(PayGapsForMalesInRacialEthnicGroupsByOccupationalSeries[[#This Row],[Other Male Employees]]/U$318,"")</f>
        <v/>
      </c>
      <c r="U146" s="16" t="s">
        <v>0</v>
      </c>
      <c r="V146" s="17" t="s">
        <v>0</v>
      </c>
      <c r="W14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47" spans="1:23" ht="15.6" x14ac:dyDescent="0.3">
      <c r="A147" s="4" t="s">
        <v>157</v>
      </c>
      <c r="B147" s="25">
        <v>909</v>
      </c>
      <c r="C147" s="26">
        <v>116845.147414741</v>
      </c>
      <c r="D147" s="15" t="str">
        <f>IFERROR(PayGapsForMalesInRacialEthnicGroupsByOccupationalSeries[[#This Row],[AIAN Male Employees]]/E$318,"")</f>
        <v/>
      </c>
      <c r="E147" s="16" t="s">
        <v>0</v>
      </c>
      <c r="F147" s="17" t="s">
        <v>0</v>
      </c>
      <c r="G147" s="18" t="s">
        <v>0</v>
      </c>
      <c r="H147" s="15">
        <f>IFERROR(PayGapsForMalesInRacialEthnicGroupsByOccupationalSeries[[#This Row],[ANHPI Male Employees]]/I$318,"")</f>
        <v>3.4368943798449613E-3</v>
      </c>
      <c r="I147" s="16">
        <v>227</v>
      </c>
      <c r="J147" s="17">
        <v>118756.577092511</v>
      </c>
      <c r="K147" s="18">
        <f>PayGapsForMalesInRacialEthnicGroupsByOccupationalSeries[[#This Row],[ANHPI Male Avg Salary]]/PayGapsForMalesInRacialEthnicGroupsByOccupationalSeries[[#This Row],[White Male Average Salary]]</f>
        <v>1.0163586569066954</v>
      </c>
      <c r="L147" s="15">
        <f>IFERROR(PayGapsForMalesInRacialEthnicGroupsByOccupationalSeries[[#This Row],[Black Male Employees]]/M$318,"")</f>
        <v>1.6078070631524216E-3</v>
      </c>
      <c r="M147" s="16">
        <v>201</v>
      </c>
      <c r="N147" s="17">
        <v>112895.95024875599</v>
      </c>
      <c r="O147" s="18">
        <f>IFERROR(PayGapsForMalesInRacialEthnicGroupsByOccupationalSeries[[#This Row],[Black Male Avg Salary]]/PayGapsForMalesInRacialEthnicGroupsByOccupationalSeries[[#This Row],[White Male Average Salary]],"")</f>
        <v>0.96620144478942405</v>
      </c>
      <c r="P147" s="15">
        <f>IFERROR(PayGapsForMalesInRacialEthnicGroupsByOccupationalSeries[[#This Row],[Hispanic Latino Male Employees]]/Q$318,"")</f>
        <v>1.4026813575516094E-3</v>
      </c>
      <c r="Q147" s="16">
        <v>138</v>
      </c>
      <c r="R147" s="17">
        <v>114838.688405797</v>
      </c>
      <c r="S147" s="18">
        <f>IFERROR(PayGapsForMalesInRacialEthnicGroupsByOccupationalSeries[[#This Row],[Hispanic Latino Male Avg Salary]]/PayGapsForMalesInRacialEthnicGroupsByOccupationalSeries[[#This Row],[White Male Average Salary]],"")</f>
        <v>0.98282805017291741</v>
      </c>
      <c r="T147" s="15" t="str">
        <f>IFERROR(PayGapsForMalesInRacialEthnicGroupsByOccupationalSeries[[#This Row],[Other Male Employees]]/U$318,"")</f>
        <v/>
      </c>
      <c r="U147" s="16" t="s">
        <v>0</v>
      </c>
      <c r="V147" s="17" t="s">
        <v>0</v>
      </c>
      <c r="W14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48" spans="1:23" ht="15.6" x14ac:dyDescent="0.3">
      <c r="A148" s="4" t="s">
        <v>158</v>
      </c>
      <c r="B148" s="25">
        <v>589</v>
      </c>
      <c r="C148" s="26">
        <v>115429.33106960999</v>
      </c>
      <c r="D148" s="15" t="str">
        <f>IFERROR(PayGapsForMalesInRacialEthnicGroupsByOccupationalSeries[[#This Row],[AIAN Male Employees]]/E$318,"")</f>
        <v/>
      </c>
      <c r="E148" s="16" t="s">
        <v>0</v>
      </c>
      <c r="F148" s="17" t="s">
        <v>0</v>
      </c>
      <c r="G148" s="18" t="s">
        <v>0</v>
      </c>
      <c r="H148" s="15" t="str">
        <f>IFERROR(PayGapsForMalesInRacialEthnicGroupsByOccupationalSeries[[#This Row],[ANHPI Male Employees]]/I$318,"")</f>
        <v/>
      </c>
      <c r="I148" s="16" t="s">
        <v>0</v>
      </c>
      <c r="J148" s="17" t="s">
        <v>0</v>
      </c>
      <c r="K148" s="18" t="s">
        <v>0</v>
      </c>
      <c r="L148" s="15">
        <f>IFERROR(PayGapsForMalesInRacialEthnicGroupsByOccupationalSeries[[#This Row],[Black Male Employees]]/M$318,"")</f>
        <v>5.0393952725672918E-4</v>
      </c>
      <c r="M148" s="16">
        <v>63</v>
      </c>
      <c r="N148" s="17">
        <v>119735.158730159</v>
      </c>
      <c r="O148" s="18">
        <f>IFERROR(PayGapsForMalesInRacialEthnicGroupsByOccupationalSeries[[#This Row],[Black Male Avg Salary]]/PayGapsForMalesInRacialEthnicGroupsByOccupationalSeries[[#This Row],[White Male Average Salary]],"")</f>
        <v>1.0373027169147533</v>
      </c>
      <c r="P148" s="15" t="str">
        <f>IFERROR(PayGapsForMalesInRacialEthnicGroupsByOccupationalSeries[[#This Row],[Hispanic Latino Male Employees]]/Q$318,"")</f>
        <v/>
      </c>
      <c r="Q148" s="16" t="s">
        <v>0</v>
      </c>
      <c r="R148" s="17" t="s">
        <v>0</v>
      </c>
      <c r="S14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48" s="15" t="str">
        <f>IFERROR(PayGapsForMalesInRacialEthnicGroupsByOccupationalSeries[[#This Row],[Other Male Employees]]/U$318,"")</f>
        <v/>
      </c>
      <c r="U148" s="16" t="s">
        <v>0</v>
      </c>
      <c r="V148" s="17" t="s">
        <v>0</v>
      </c>
      <c r="W14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49" spans="1:23" ht="15.6" x14ac:dyDescent="0.3">
      <c r="A149" s="4" t="s">
        <v>159</v>
      </c>
      <c r="B149" s="25">
        <v>111</v>
      </c>
      <c r="C149" s="26">
        <v>62238.162162162</v>
      </c>
      <c r="D149" s="15" t="str">
        <f>IFERROR(PayGapsForMalesInRacialEthnicGroupsByOccupationalSeries[[#This Row],[AIAN Male Employees]]/E$318,"")</f>
        <v/>
      </c>
      <c r="E149" s="16" t="s">
        <v>0</v>
      </c>
      <c r="F149" s="17" t="s">
        <v>0</v>
      </c>
      <c r="G149" s="18" t="s">
        <v>0</v>
      </c>
      <c r="H149" s="15" t="str">
        <f>IFERROR(PayGapsForMalesInRacialEthnicGroupsByOccupationalSeries[[#This Row],[ANHPI Male Employees]]/I$318,"")</f>
        <v/>
      </c>
      <c r="I149" s="16" t="s">
        <v>0</v>
      </c>
      <c r="J149" s="17" t="s">
        <v>0</v>
      </c>
      <c r="K149" s="18" t="s">
        <v>0</v>
      </c>
      <c r="L149" s="15" t="str">
        <f>IFERROR(PayGapsForMalesInRacialEthnicGroupsByOccupationalSeries[[#This Row],[Black Male Employees]]/M$318,"")</f>
        <v/>
      </c>
      <c r="M149" s="16" t="s">
        <v>0</v>
      </c>
      <c r="N149" s="17" t="s">
        <v>0</v>
      </c>
      <c r="O149" s="18" t="str">
        <f>IFERROR(PayGapsForMalesInRacialEthnicGroupsByOccupationalSeries[[#This Row],[Black Male Avg Salary]]/PayGapsForMalesInRacialEthnicGroupsByOccupationalSeries[[#This Row],[White Male Average Salary]],"")</f>
        <v/>
      </c>
      <c r="P149" s="15" t="str">
        <f>IFERROR(PayGapsForMalesInRacialEthnicGroupsByOccupationalSeries[[#This Row],[Hispanic Latino Male Employees]]/Q$318,"")</f>
        <v/>
      </c>
      <c r="Q149" s="16" t="s">
        <v>0</v>
      </c>
      <c r="R149" s="17" t="s">
        <v>0</v>
      </c>
      <c r="S14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49" s="15" t="str">
        <f>IFERROR(PayGapsForMalesInRacialEthnicGroupsByOccupationalSeries[[#This Row],[Other Male Employees]]/U$318,"")</f>
        <v/>
      </c>
      <c r="U149" s="16" t="s">
        <v>0</v>
      </c>
      <c r="V149" s="17" t="s">
        <v>0</v>
      </c>
      <c r="W14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50" spans="1:23" ht="15.6" x14ac:dyDescent="0.3">
      <c r="A150" s="4" t="s">
        <v>160</v>
      </c>
      <c r="B150" s="25">
        <v>18372</v>
      </c>
      <c r="C150" s="26">
        <v>136779.772271836</v>
      </c>
      <c r="D150" s="15">
        <f>IFERROR(PayGapsForMalesInRacialEthnicGroupsByOccupationalSeries[[#This Row],[AIAN Male Employees]]/E$318,"")</f>
        <v>1.4765784114052953E-2</v>
      </c>
      <c r="E150" s="16">
        <v>145</v>
      </c>
      <c r="F150" s="17">
        <v>125818.303448276</v>
      </c>
      <c r="G150" s="18">
        <f>PayGapsForMalesInRacialEthnicGroupsByOccupationalSeries[[#This Row],[AIAN Male Avg Salary]]/PayGapsForMalesInRacialEthnicGroupsByOccupationalSeries[[#This Row],[White Male Average Salary]]</f>
        <v>0.9198604542068165</v>
      </c>
      <c r="H150" s="15">
        <f>IFERROR(PayGapsForMalesInRacialEthnicGroupsByOccupationalSeries[[#This Row],[ANHPI Male Employees]]/I$318,"")</f>
        <v>3.3596778100775194E-2</v>
      </c>
      <c r="I150" s="16">
        <v>2219</v>
      </c>
      <c r="J150" s="17">
        <v>132245.21244925601</v>
      </c>
      <c r="K150" s="18">
        <f>PayGapsForMalesInRacialEthnicGroupsByOccupationalSeries[[#This Row],[ANHPI Male Avg Salary]]/PayGapsForMalesInRacialEthnicGroupsByOccupationalSeries[[#This Row],[White Male Average Salary]]</f>
        <v>0.96684773086499942</v>
      </c>
      <c r="L150" s="15">
        <f>IFERROR(PayGapsForMalesInRacialEthnicGroupsByOccupationalSeries[[#This Row],[Black Male Employees]]/M$318,"")</f>
        <v>1.1374635043794745E-2</v>
      </c>
      <c r="M150" s="16">
        <v>1422</v>
      </c>
      <c r="N150" s="17">
        <v>130981.661505982</v>
      </c>
      <c r="O150" s="18">
        <f>IFERROR(PayGapsForMalesInRacialEthnicGroupsByOccupationalSeries[[#This Row],[Black Male Avg Salary]]/PayGapsForMalesInRacialEthnicGroupsByOccupationalSeries[[#This Row],[White Male Average Salary]],"")</f>
        <v>0.95760988142069103</v>
      </c>
      <c r="P150" s="15">
        <f>IFERROR(PayGapsForMalesInRacialEthnicGroupsByOccupationalSeries[[#This Row],[Hispanic Latino Male Employees]]/Q$318,"")</f>
        <v>1.6344287122775275E-2</v>
      </c>
      <c r="Q150" s="16">
        <v>1608</v>
      </c>
      <c r="R150" s="17">
        <v>128855.095208463</v>
      </c>
      <c r="S150" s="18">
        <f>IFERROR(PayGapsForMalesInRacialEthnicGroupsByOccupationalSeries[[#This Row],[Hispanic Latino Male Avg Salary]]/PayGapsForMalesInRacialEthnicGroupsByOccupationalSeries[[#This Row],[White Male Average Salary]],"")</f>
        <v>0.94206250725711471</v>
      </c>
      <c r="T150" s="15">
        <f>IFERROR(PayGapsForMalesInRacialEthnicGroupsByOccupationalSeries[[#This Row],[Other Male Employees]]/U$318,"")</f>
        <v>2.2190112498709877E-2</v>
      </c>
      <c r="U150" s="16">
        <v>430</v>
      </c>
      <c r="V150" s="17">
        <v>124878.772093023</v>
      </c>
      <c r="W150" s="18">
        <f>IFERROR(PayGapsForMalesInRacialEthnicGroupsByOccupationalSeries[[#This Row],[Other Male Avg Salary]]/PayGapsForMalesInRacialEthnicGroupsByOccupationalSeries[[#This Row],[White Male Average Salary]],"")</f>
        <v>0.91299151927844302</v>
      </c>
    </row>
    <row r="151" spans="1:23" ht="15.6" x14ac:dyDescent="0.3">
      <c r="A151" s="4" t="s">
        <v>161</v>
      </c>
      <c r="B151" s="25">
        <v>10526</v>
      </c>
      <c r="C151" s="26">
        <v>90048.972826603</v>
      </c>
      <c r="D151" s="15">
        <f>IFERROR(PayGapsForMalesInRacialEthnicGroupsByOccupationalSeries[[#This Row],[AIAN Male Employees]]/E$318,"")</f>
        <v>2.3319755600814663E-2</v>
      </c>
      <c r="E151" s="16">
        <v>229</v>
      </c>
      <c r="F151" s="17">
        <v>75042.279475982999</v>
      </c>
      <c r="G151" s="18">
        <f>PayGapsForMalesInRacialEthnicGroupsByOccupationalSeries[[#This Row],[AIAN Male Avg Salary]]/PayGapsForMalesInRacialEthnicGroupsByOccupationalSeries[[#This Row],[White Male Average Salary]]</f>
        <v>0.83334964431502545</v>
      </c>
      <c r="H151" s="15">
        <f>IFERROR(PayGapsForMalesInRacialEthnicGroupsByOccupationalSeries[[#This Row],[ANHPI Male Employees]]/I$318,"")</f>
        <v>1.0053294573643411E-2</v>
      </c>
      <c r="I151" s="16">
        <v>664</v>
      </c>
      <c r="J151" s="17">
        <v>89291.536144578</v>
      </c>
      <c r="K151" s="18">
        <f>PayGapsForMalesInRacialEthnicGroupsByOccupationalSeries[[#This Row],[ANHPI Male Avg Salary]]/PayGapsForMalesInRacialEthnicGroupsByOccupationalSeries[[#This Row],[White Male Average Salary]]</f>
        <v>0.99158861385922181</v>
      </c>
      <c r="L151" s="15">
        <f>IFERROR(PayGapsForMalesInRacialEthnicGroupsByOccupationalSeries[[#This Row],[Black Male Employees]]/M$318,"")</f>
        <v>8.3989921209454872E-3</v>
      </c>
      <c r="M151" s="16">
        <v>1050</v>
      </c>
      <c r="N151" s="17">
        <v>89282.999047619</v>
      </c>
      <c r="O151" s="18">
        <f>IFERROR(PayGapsForMalesInRacialEthnicGroupsByOccupationalSeries[[#This Row],[Black Male Avg Salary]]/PayGapsForMalesInRacialEthnicGroupsByOccupationalSeries[[#This Row],[White Male Average Salary]],"")</f>
        <v>0.99149380881380011</v>
      </c>
      <c r="P151" s="15">
        <f>IFERROR(PayGapsForMalesInRacialEthnicGroupsByOccupationalSeries[[#This Row],[Hispanic Latino Male Employees]]/Q$318,"")</f>
        <v>8.6803614445585108E-3</v>
      </c>
      <c r="Q151" s="16">
        <v>854</v>
      </c>
      <c r="R151" s="17">
        <v>86477.643610785002</v>
      </c>
      <c r="S151" s="18">
        <f>IFERROR(PayGapsForMalesInRacialEthnicGroupsByOccupationalSeries[[#This Row],[Hispanic Latino Male Avg Salary]]/PayGapsForMalesInRacialEthnicGroupsByOccupationalSeries[[#This Row],[White Male Average Salary]],"")</f>
        <v>0.96034014488210884</v>
      </c>
      <c r="T151" s="15">
        <f>IFERROR(PayGapsForMalesInRacialEthnicGroupsByOccupationalSeries[[#This Row],[Other Male Employees]]/U$318,"")</f>
        <v>1.3933326452678295E-2</v>
      </c>
      <c r="U151" s="16">
        <v>270</v>
      </c>
      <c r="V151" s="17">
        <v>87246.685185184993</v>
      </c>
      <c r="W151" s="18">
        <f>IFERROR(PayGapsForMalesInRacialEthnicGroupsByOccupationalSeries[[#This Row],[Other Male Avg Salary]]/PayGapsForMalesInRacialEthnicGroupsByOccupationalSeries[[#This Row],[White Male Average Salary]],"")</f>
        <v>0.96888040414615217</v>
      </c>
    </row>
    <row r="152" spans="1:23" ht="15.6" x14ac:dyDescent="0.3">
      <c r="A152" s="4" t="s">
        <v>162</v>
      </c>
      <c r="B152" s="25">
        <v>252</v>
      </c>
      <c r="C152" s="26">
        <v>125711.376984127</v>
      </c>
      <c r="D152" s="15" t="str">
        <f>IFERROR(PayGapsForMalesInRacialEthnicGroupsByOccupationalSeries[[#This Row],[AIAN Male Employees]]/E$318,"")</f>
        <v/>
      </c>
      <c r="E152" s="16" t="s">
        <v>0</v>
      </c>
      <c r="F152" s="17" t="s">
        <v>0</v>
      </c>
      <c r="G152" s="18" t="s">
        <v>0</v>
      </c>
      <c r="H152" s="15" t="str">
        <f>IFERROR(PayGapsForMalesInRacialEthnicGroupsByOccupationalSeries[[#This Row],[ANHPI Male Employees]]/I$318,"")</f>
        <v/>
      </c>
      <c r="I152" s="16" t="s">
        <v>0</v>
      </c>
      <c r="J152" s="17" t="s">
        <v>0</v>
      </c>
      <c r="K152" s="18" t="s">
        <v>0</v>
      </c>
      <c r="L152" s="15" t="str">
        <f>IFERROR(PayGapsForMalesInRacialEthnicGroupsByOccupationalSeries[[#This Row],[Black Male Employees]]/M$318,"")</f>
        <v/>
      </c>
      <c r="M152" s="16" t="s">
        <v>0</v>
      </c>
      <c r="N152" s="17" t="s">
        <v>0</v>
      </c>
      <c r="O152" s="18" t="str">
        <f>IFERROR(PayGapsForMalesInRacialEthnicGroupsByOccupationalSeries[[#This Row],[Black Male Avg Salary]]/PayGapsForMalesInRacialEthnicGroupsByOccupationalSeries[[#This Row],[White Male Average Salary]],"")</f>
        <v/>
      </c>
      <c r="P152" s="15" t="str">
        <f>IFERROR(PayGapsForMalesInRacialEthnicGroupsByOccupationalSeries[[#This Row],[Hispanic Latino Male Employees]]/Q$318,"")</f>
        <v/>
      </c>
      <c r="Q152" s="16" t="s">
        <v>0</v>
      </c>
      <c r="R152" s="17" t="s">
        <v>0</v>
      </c>
      <c r="S15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52" s="15" t="str">
        <f>IFERROR(PayGapsForMalesInRacialEthnicGroupsByOccupationalSeries[[#This Row],[Other Male Employees]]/U$318,"")</f>
        <v/>
      </c>
      <c r="U152" s="16" t="s">
        <v>0</v>
      </c>
      <c r="V152" s="17" t="s">
        <v>0</v>
      </c>
      <c r="W15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53" spans="1:23" ht="15.6" x14ac:dyDescent="0.3">
      <c r="A153" s="4" t="s">
        <v>163</v>
      </c>
      <c r="B153" s="25">
        <v>189</v>
      </c>
      <c r="C153" s="26">
        <v>129309.787234043</v>
      </c>
      <c r="D153" s="15" t="str">
        <f>IFERROR(PayGapsForMalesInRacialEthnicGroupsByOccupationalSeries[[#This Row],[AIAN Male Employees]]/E$318,"")</f>
        <v/>
      </c>
      <c r="E153" s="16" t="s">
        <v>0</v>
      </c>
      <c r="F153" s="17" t="s">
        <v>0</v>
      </c>
      <c r="G153" s="18" t="s">
        <v>0</v>
      </c>
      <c r="H153" s="15" t="str">
        <f>IFERROR(PayGapsForMalesInRacialEthnicGroupsByOccupationalSeries[[#This Row],[ANHPI Male Employees]]/I$318,"")</f>
        <v/>
      </c>
      <c r="I153" s="16" t="s">
        <v>0</v>
      </c>
      <c r="J153" s="17" t="s">
        <v>0</v>
      </c>
      <c r="K153" s="18" t="s">
        <v>0</v>
      </c>
      <c r="L153" s="15" t="str">
        <f>IFERROR(PayGapsForMalesInRacialEthnicGroupsByOccupationalSeries[[#This Row],[Black Male Employees]]/M$318,"")</f>
        <v/>
      </c>
      <c r="M153" s="16" t="s">
        <v>0</v>
      </c>
      <c r="N153" s="17" t="s">
        <v>0</v>
      </c>
      <c r="O153" s="18" t="str">
        <f>IFERROR(PayGapsForMalesInRacialEthnicGroupsByOccupationalSeries[[#This Row],[Black Male Avg Salary]]/PayGapsForMalesInRacialEthnicGroupsByOccupationalSeries[[#This Row],[White Male Average Salary]],"")</f>
        <v/>
      </c>
      <c r="P153" s="15" t="str">
        <f>IFERROR(PayGapsForMalesInRacialEthnicGroupsByOccupationalSeries[[#This Row],[Hispanic Latino Male Employees]]/Q$318,"")</f>
        <v/>
      </c>
      <c r="Q153" s="16" t="s">
        <v>0</v>
      </c>
      <c r="R153" s="17" t="s">
        <v>0</v>
      </c>
      <c r="S15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53" s="15" t="str">
        <f>IFERROR(PayGapsForMalesInRacialEthnicGroupsByOccupationalSeries[[#This Row],[Other Male Employees]]/U$318,"")</f>
        <v/>
      </c>
      <c r="U153" s="16" t="s">
        <v>0</v>
      </c>
      <c r="V153" s="17" t="s">
        <v>0</v>
      </c>
      <c r="W15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54" spans="1:23" ht="15.6" x14ac:dyDescent="0.3">
      <c r="A154" s="4" t="s">
        <v>164</v>
      </c>
      <c r="B154" s="25">
        <v>763</v>
      </c>
      <c r="C154" s="26">
        <v>133194.082568807</v>
      </c>
      <c r="D154" s="15" t="str">
        <f>IFERROR(PayGapsForMalesInRacialEthnicGroupsByOccupationalSeries[[#This Row],[AIAN Male Employees]]/E$318,"")</f>
        <v/>
      </c>
      <c r="E154" s="16" t="s">
        <v>0</v>
      </c>
      <c r="F154" s="17" t="s">
        <v>0</v>
      </c>
      <c r="G154" s="18" t="s">
        <v>0</v>
      </c>
      <c r="H154" s="15">
        <f>IFERROR(PayGapsForMalesInRacialEthnicGroupsByOccupationalSeries[[#This Row],[ANHPI Male Employees]]/I$318,"")</f>
        <v>1.4534883720930232E-3</v>
      </c>
      <c r="I154" s="16">
        <v>96</v>
      </c>
      <c r="J154" s="17">
        <v>144008.89583333299</v>
      </c>
      <c r="K154" s="18">
        <f>PayGapsForMalesInRacialEthnicGroupsByOccupationalSeries[[#This Row],[ANHPI Male Avg Salary]]/PayGapsForMalesInRacialEthnicGroupsByOccupationalSeries[[#This Row],[White Male Average Salary]]</f>
        <v>1.0811958989164487</v>
      </c>
      <c r="L154" s="15" t="str">
        <f>IFERROR(PayGapsForMalesInRacialEthnicGroupsByOccupationalSeries[[#This Row],[Black Male Employees]]/M$318,"")</f>
        <v/>
      </c>
      <c r="M154" s="16" t="s">
        <v>0</v>
      </c>
      <c r="N154" s="17" t="s">
        <v>0</v>
      </c>
      <c r="O154" s="18" t="str">
        <f>IFERROR(PayGapsForMalesInRacialEthnicGroupsByOccupationalSeries[[#This Row],[Black Male Avg Salary]]/PayGapsForMalesInRacialEthnicGroupsByOccupationalSeries[[#This Row],[White Male Average Salary]],"")</f>
        <v/>
      </c>
      <c r="P154" s="15" t="str">
        <f>IFERROR(PayGapsForMalesInRacialEthnicGroupsByOccupationalSeries[[#This Row],[Hispanic Latino Male Employees]]/Q$318,"")</f>
        <v/>
      </c>
      <c r="Q154" s="16" t="s">
        <v>0</v>
      </c>
      <c r="R154" s="17" t="s">
        <v>0</v>
      </c>
      <c r="S15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54" s="15" t="str">
        <f>IFERROR(PayGapsForMalesInRacialEthnicGroupsByOccupationalSeries[[#This Row],[Other Male Employees]]/U$318,"")</f>
        <v/>
      </c>
      <c r="U154" s="16" t="s">
        <v>0</v>
      </c>
      <c r="V154" s="17" t="s">
        <v>0</v>
      </c>
      <c r="W15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55" spans="1:23" ht="15.6" x14ac:dyDescent="0.3">
      <c r="A155" s="4" t="s">
        <v>165</v>
      </c>
      <c r="B155" s="25">
        <v>139</v>
      </c>
      <c r="C155" s="26">
        <v>104816.316546763</v>
      </c>
      <c r="D155" s="15" t="str">
        <f>IFERROR(PayGapsForMalesInRacialEthnicGroupsByOccupationalSeries[[#This Row],[AIAN Male Employees]]/E$318,"")</f>
        <v/>
      </c>
      <c r="E155" s="16" t="s">
        <v>0</v>
      </c>
      <c r="F155" s="17" t="s">
        <v>0</v>
      </c>
      <c r="G155" s="18" t="s">
        <v>0</v>
      </c>
      <c r="H155" s="15" t="str">
        <f>IFERROR(PayGapsForMalesInRacialEthnicGroupsByOccupationalSeries[[#This Row],[ANHPI Male Employees]]/I$318,"")</f>
        <v/>
      </c>
      <c r="I155" s="16" t="s">
        <v>0</v>
      </c>
      <c r="J155" s="17" t="s">
        <v>0</v>
      </c>
      <c r="K155" s="18" t="s">
        <v>0</v>
      </c>
      <c r="L155" s="15" t="str">
        <f>IFERROR(PayGapsForMalesInRacialEthnicGroupsByOccupationalSeries[[#This Row],[Black Male Employees]]/M$318,"")</f>
        <v/>
      </c>
      <c r="M155" s="16" t="s">
        <v>0</v>
      </c>
      <c r="N155" s="17" t="s">
        <v>0</v>
      </c>
      <c r="O155" s="18" t="str">
        <f>IFERROR(PayGapsForMalesInRacialEthnicGroupsByOccupationalSeries[[#This Row],[Black Male Avg Salary]]/PayGapsForMalesInRacialEthnicGroupsByOccupationalSeries[[#This Row],[White Male Average Salary]],"")</f>
        <v/>
      </c>
      <c r="P155" s="15" t="str">
        <f>IFERROR(PayGapsForMalesInRacialEthnicGroupsByOccupationalSeries[[#This Row],[Hispanic Latino Male Employees]]/Q$318,"")</f>
        <v/>
      </c>
      <c r="Q155" s="16" t="s">
        <v>0</v>
      </c>
      <c r="R155" s="17" t="s">
        <v>0</v>
      </c>
      <c r="S15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55" s="15" t="str">
        <f>IFERROR(PayGapsForMalesInRacialEthnicGroupsByOccupationalSeries[[#This Row],[Other Male Employees]]/U$318,"")</f>
        <v/>
      </c>
      <c r="U155" s="16" t="s">
        <v>0</v>
      </c>
      <c r="V155" s="17" t="s">
        <v>0</v>
      </c>
      <c r="W15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56" spans="1:23" ht="15.6" x14ac:dyDescent="0.3">
      <c r="A156" s="4" t="s">
        <v>166</v>
      </c>
      <c r="B156" s="25">
        <v>870</v>
      </c>
      <c r="C156" s="26">
        <v>115022.814942529</v>
      </c>
      <c r="D156" s="15" t="str">
        <f>IFERROR(PayGapsForMalesInRacialEthnicGroupsByOccupationalSeries[[#This Row],[AIAN Male Employees]]/E$318,"")</f>
        <v/>
      </c>
      <c r="E156" s="16" t="s">
        <v>0</v>
      </c>
      <c r="F156" s="17" t="s">
        <v>0</v>
      </c>
      <c r="G156" s="18" t="s">
        <v>0</v>
      </c>
      <c r="H156" s="15">
        <f>IFERROR(PayGapsForMalesInRacialEthnicGroupsByOccupationalSeries[[#This Row],[ANHPI Male Employees]]/I$318,"")</f>
        <v>2.271075581395349E-3</v>
      </c>
      <c r="I156" s="16">
        <v>150</v>
      </c>
      <c r="J156" s="17">
        <v>108319.233333333</v>
      </c>
      <c r="K156" s="18">
        <f>PayGapsForMalesInRacialEthnicGroupsByOccupationalSeries[[#This Row],[ANHPI Male Avg Salary]]/PayGapsForMalesInRacialEthnicGroupsByOccupationalSeries[[#This Row],[White Male Average Salary]]</f>
        <v>0.941719548312694</v>
      </c>
      <c r="L156" s="15">
        <f>IFERROR(PayGapsForMalesInRacialEthnicGroupsByOccupationalSeries[[#This Row],[Black Male Employees]]/M$318,"")</f>
        <v>1.0078790545134584E-3</v>
      </c>
      <c r="M156" s="16">
        <v>126</v>
      </c>
      <c r="N156" s="17">
        <v>110172.17460317499</v>
      </c>
      <c r="O156" s="18">
        <f>IFERROR(PayGapsForMalesInRacialEthnicGroupsByOccupationalSeries[[#This Row],[Black Male Avg Salary]]/PayGapsForMalesInRacialEthnicGroupsByOccupationalSeries[[#This Row],[White Male Average Salary]],"")</f>
        <v>0.95782888514963205</v>
      </c>
      <c r="P156" s="15">
        <f>IFERROR(PayGapsForMalesInRacialEthnicGroupsByOccupationalSeries[[#This Row],[Hispanic Latino Male Employees]]/Q$318,"")</f>
        <v>8.6397040139048415E-4</v>
      </c>
      <c r="Q156" s="16">
        <v>85</v>
      </c>
      <c r="R156" s="17">
        <v>109651.94117647099</v>
      </c>
      <c r="S156" s="18">
        <f>IFERROR(PayGapsForMalesInRacialEthnicGroupsByOccupationalSeries[[#This Row],[Hispanic Latino Male Avg Salary]]/PayGapsForMalesInRacialEthnicGroupsByOccupationalSeries[[#This Row],[White Male Average Salary]],"")</f>
        <v>0.95330601351791333</v>
      </c>
      <c r="T156" s="15" t="str">
        <f>IFERROR(PayGapsForMalesInRacialEthnicGroupsByOccupationalSeries[[#This Row],[Other Male Employees]]/U$318,"")</f>
        <v/>
      </c>
      <c r="U156" s="16" t="s">
        <v>0</v>
      </c>
      <c r="V156" s="17" t="s">
        <v>0</v>
      </c>
      <c r="W15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57" spans="1:23" ht="15.6" x14ac:dyDescent="0.3">
      <c r="A157" s="4" t="s">
        <v>167</v>
      </c>
      <c r="B157" s="25">
        <v>1253</v>
      </c>
      <c r="C157" s="26">
        <v>83044.651237030994</v>
      </c>
      <c r="D157" s="15" t="str">
        <f>IFERROR(PayGapsForMalesInRacialEthnicGroupsByOccupationalSeries[[#This Row],[AIAN Male Employees]]/E$318,"")</f>
        <v/>
      </c>
      <c r="E157" s="16" t="s">
        <v>0</v>
      </c>
      <c r="F157" s="17" t="s">
        <v>0</v>
      </c>
      <c r="G157" s="18" t="s">
        <v>0</v>
      </c>
      <c r="H157" s="15" t="str">
        <f>IFERROR(PayGapsForMalesInRacialEthnicGroupsByOccupationalSeries[[#This Row],[ANHPI Male Employees]]/I$318,"")</f>
        <v/>
      </c>
      <c r="I157" s="16" t="s">
        <v>0</v>
      </c>
      <c r="J157" s="17" t="s">
        <v>0</v>
      </c>
      <c r="K157" s="18" t="s">
        <v>0</v>
      </c>
      <c r="L157" s="15">
        <f>IFERROR(PayGapsForMalesInRacialEthnicGroupsByOccupationalSeries[[#This Row],[Black Male Employees]]/M$318,"")</f>
        <v>1.2798464184297885E-3</v>
      </c>
      <c r="M157" s="16">
        <v>160</v>
      </c>
      <c r="N157" s="17">
        <v>84136.681249999994</v>
      </c>
      <c r="O157" s="18">
        <f>IFERROR(PayGapsForMalesInRacialEthnicGroupsByOccupationalSeries[[#This Row],[Black Male Avg Salary]]/PayGapsForMalesInRacialEthnicGroupsByOccupationalSeries[[#This Row],[White Male Average Salary]],"")</f>
        <v>1.0131499138921309</v>
      </c>
      <c r="P157" s="15">
        <f>IFERROR(PayGapsForMalesInRacialEthnicGroupsByOccupationalSeries[[#This Row],[Hispanic Latino Male Employees]]/Q$318,"")</f>
        <v>1.1180793429759206E-3</v>
      </c>
      <c r="Q157" s="16">
        <v>110</v>
      </c>
      <c r="R157" s="17">
        <v>84596.381818181995</v>
      </c>
      <c r="S157" s="18">
        <f>IFERROR(PayGapsForMalesInRacialEthnicGroupsByOccupationalSeries[[#This Row],[Hispanic Latino Male Avg Salary]]/PayGapsForMalesInRacialEthnicGroupsByOccupationalSeries[[#This Row],[White Male Average Salary]],"")</f>
        <v>1.018685496995128</v>
      </c>
      <c r="T157" s="15" t="str">
        <f>IFERROR(PayGapsForMalesInRacialEthnicGroupsByOccupationalSeries[[#This Row],[Other Male Employees]]/U$318,"")</f>
        <v/>
      </c>
      <c r="U157" s="16" t="s">
        <v>0</v>
      </c>
      <c r="V157" s="17" t="s">
        <v>0</v>
      </c>
      <c r="W15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58" spans="1:23" ht="15.6" x14ac:dyDescent="0.3">
      <c r="A158" s="4" t="s">
        <v>168</v>
      </c>
      <c r="B158" s="25">
        <v>6528</v>
      </c>
      <c r="C158" s="26">
        <v>108379.387492336</v>
      </c>
      <c r="D158" s="15">
        <f>IFERROR(PayGapsForMalesInRacialEthnicGroupsByOccupationalSeries[[#This Row],[AIAN Male Employees]]/E$318,"")</f>
        <v>9.266802443991853E-3</v>
      </c>
      <c r="E158" s="16">
        <v>91</v>
      </c>
      <c r="F158" s="17">
        <v>104987.527472527</v>
      </c>
      <c r="G158" s="18">
        <f>PayGapsForMalesInRacialEthnicGroupsByOccupationalSeries[[#This Row],[AIAN Male Avg Salary]]/PayGapsForMalesInRacialEthnicGroupsByOccupationalSeries[[#This Row],[White Male Average Salary]]</f>
        <v>0.96870382737631866</v>
      </c>
      <c r="H158" s="15">
        <f>IFERROR(PayGapsForMalesInRacialEthnicGroupsByOccupationalSeries[[#This Row],[ANHPI Male Employees]]/I$318,"")</f>
        <v>1.3172238372093024E-2</v>
      </c>
      <c r="I158" s="16">
        <v>870</v>
      </c>
      <c r="J158" s="17">
        <v>109416.298850575</v>
      </c>
      <c r="K158" s="18">
        <f>PayGapsForMalesInRacialEthnicGroupsByOccupationalSeries[[#This Row],[ANHPI Male Avg Salary]]/PayGapsForMalesInRacialEthnicGroupsByOccupationalSeries[[#This Row],[White Male Average Salary]]</f>
        <v>1.0095674222029749</v>
      </c>
      <c r="L158" s="15">
        <f>IFERROR(PayGapsForMalesInRacialEthnicGroupsByOccupationalSeries[[#This Row],[Black Male Employees]]/M$318,"")</f>
        <v>3.151621805383354E-3</v>
      </c>
      <c r="M158" s="16">
        <v>394</v>
      </c>
      <c r="N158" s="17">
        <v>105004.360406091</v>
      </c>
      <c r="O158" s="18">
        <f>IFERROR(PayGapsForMalesInRacialEthnicGroupsByOccupationalSeries[[#This Row],[Black Male Avg Salary]]/PayGapsForMalesInRacialEthnicGroupsByOccupationalSeries[[#This Row],[White Male Average Salary]],"")</f>
        <v>0.96885914227478298</v>
      </c>
      <c r="P158" s="15">
        <f>IFERROR(PayGapsForMalesInRacialEthnicGroupsByOccupationalSeries[[#This Row],[Hispanic Latino Male Employees]]/Q$318,"")</f>
        <v>7.0438998607483001E-3</v>
      </c>
      <c r="Q158" s="16">
        <v>693</v>
      </c>
      <c r="R158" s="17">
        <v>101857.19219653201</v>
      </c>
      <c r="S158" s="18">
        <f>IFERROR(PayGapsForMalesInRacialEthnicGroupsByOccupationalSeries[[#This Row],[Hispanic Latino Male Avg Salary]]/PayGapsForMalesInRacialEthnicGroupsByOccupationalSeries[[#This Row],[White Male Average Salary]],"")</f>
        <v>0.93982070348695035</v>
      </c>
      <c r="T158" s="15">
        <f>IFERROR(PayGapsForMalesInRacialEthnicGroupsByOccupationalSeries[[#This Row],[Other Male Employees]]/U$318,"")</f>
        <v>7.4827123542161216E-3</v>
      </c>
      <c r="U158" s="16">
        <v>145</v>
      </c>
      <c r="V158" s="17">
        <v>99229.186206896993</v>
      </c>
      <c r="W158" s="18">
        <f>IFERROR(PayGapsForMalesInRacialEthnicGroupsByOccupationalSeries[[#This Row],[Other Male Avg Salary]]/PayGapsForMalesInRacialEthnicGroupsByOccupationalSeries[[#This Row],[White Male Average Salary]],"")</f>
        <v>0.91557249494433568</v>
      </c>
    </row>
    <row r="159" spans="1:23" ht="15.6" x14ac:dyDescent="0.3">
      <c r="A159" s="4" t="s">
        <v>169</v>
      </c>
      <c r="B159" s="25">
        <v>155</v>
      </c>
      <c r="C159" s="26">
        <v>64611.670967742</v>
      </c>
      <c r="D159" s="15" t="str">
        <f>IFERROR(PayGapsForMalesInRacialEthnicGroupsByOccupationalSeries[[#This Row],[AIAN Male Employees]]/E$318,"")</f>
        <v/>
      </c>
      <c r="E159" s="16" t="s">
        <v>0</v>
      </c>
      <c r="F159" s="17" t="s">
        <v>0</v>
      </c>
      <c r="G159" s="18" t="s">
        <v>0</v>
      </c>
      <c r="H159" s="15" t="str">
        <f>IFERROR(PayGapsForMalesInRacialEthnicGroupsByOccupationalSeries[[#This Row],[ANHPI Male Employees]]/I$318,"")</f>
        <v/>
      </c>
      <c r="I159" s="16" t="s">
        <v>0</v>
      </c>
      <c r="J159" s="17" t="s">
        <v>0</v>
      </c>
      <c r="K159" s="18" t="s">
        <v>0</v>
      </c>
      <c r="L159" s="15" t="str">
        <f>IFERROR(PayGapsForMalesInRacialEthnicGroupsByOccupationalSeries[[#This Row],[Black Male Employees]]/M$318,"")</f>
        <v/>
      </c>
      <c r="M159" s="16" t="s">
        <v>0</v>
      </c>
      <c r="N159" s="17" t="s">
        <v>0</v>
      </c>
      <c r="O159" s="18" t="str">
        <f>IFERROR(PayGapsForMalesInRacialEthnicGroupsByOccupationalSeries[[#This Row],[Black Male Avg Salary]]/PayGapsForMalesInRacialEthnicGroupsByOccupationalSeries[[#This Row],[White Male Average Salary]],"")</f>
        <v/>
      </c>
      <c r="P159" s="15" t="str">
        <f>IFERROR(PayGapsForMalesInRacialEthnicGroupsByOccupationalSeries[[#This Row],[Hispanic Latino Male Employees]]/Q$318,"")</f>
        <v/>
      </c>
      <c r="Q159" s="16" t="s">
        <v>0</v>
      </c>
      <c r="R159" s="17" t="s">
        <v>0</v>
      </c>
      <c r="S15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59" s="15" t="str">
        <f>IFERROR(PayGapsForMalesInRacialEthnicGroupsByOccupationalSeries[[#This Row],[Other Male Employees]]/U$318,"")</f>
        <v/>
      </c>
      <c r="U159" s="16" t="s">
        <v>0</v>
      </c>
      <c r="V159" s="17" t="s">
        <v>0</v>
      </c>
      <c r="W15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60" spans="1:23" ht="15.6" x14ac:dyDescent="0.3">
      <c r="A160" s="4" t="s">
        <v>170</v>
      </c>
      <c r="B160" s="25">
        <v>1437</v>
      </c>
      <c r="C160" s="26">
        <v>120723.334725122</v>
      </c>
      <c r="D160" s="15" t="str">
        <f>IFERROR(PayGapsForMalesInRacialEthnicGroupsByOccupationalSeries[[#This Row],[AIAN Male Employees]]/E$318,"")</f>
        <v/>
      </c>
      <c r="E160" s="16" t="s">
        <v>0</v>
      </c>
      <c r="F160" s="17" t="s">
        <v>0</v>
      </c>
      <c r="G160" s="18" t="s">
        <v>0</v>
      </c>
      <c r="H160" s="15">
        <f>IFERROR(PayGapsForMalesInRacialEthnicGroupsByOccupationalSeries[[#This Row],[ANHPI Male Employees]]/I$318,"")</f>
        <v>3.573158914728682E-3</v>
      </c>
      <c r="I160" s="16">
        <v>236</v>
      </c>
      <c r="J160" s="17">
        <v>118244.161016949</v>
      </c>
      <c r="K160" s="18">
        <f>PayGapsForMalesInRacialEthnicGroupsByOccupationalSeries[[#This Row],[ANHPI Male Avg Salary]]/PayGapsForMalesInRacialEthnicGroupsByOccupationalSeries[[#This Row],[White Male Average Salary]]</f>
        <v>0.97946400574654524</v>
      </c>
      <c r="L160" s="15">
        <f>IFERROR(PayGapsForMalesInRacialEthnicGroupsByOccupationalSeries[[#This Row],[Black Male Employees]]/M$318,"")</f>
        <v>8.9589249290085188E-4</v>
      </c>
      <c r="M160" s="16">
        <v>112</v>
      </c>
      <c r="N160" s="17">
        <v>119000.125</v>
      </c>
      <c r="O160" s="18">
        <f>IFERROR(PayGapsForMalesInRacialEthnicGroupsByOccupationalSeries[[#This Row],[Black Male Avg Salary]]/PayGapsForMalesInRacialEthnicGroupsByOccupationalSeries[[#This Row],[White Male Average Salary]],"")</f>
        <v>0.9857259598647965</v>
      </c>
      <c r="P160" s="15">
        <f>IFERROR(PayGapsForMalesInRacialEthnicGroupsByOccupationalSeries[[#This Row],[Hispanic Latino Male Employees]]/Q$318,"")</f>
        <v>1.5754754378297063E-3</v>
      </c>
      <c r="Q160" s="16">
        <v>155</v>
      </c>
      <c r="R160" s="17">
        <v>121750.87741935501</v>
      </c>
      <c r="S160" s="18">
        <f>IFERROR(PayGapsForMalesInRacialEthnicGroupsByOccupationalSeries[[#This Row],[Hispanic Latino Male Avg Salary]]/PayGapsForMalesInRacialEthnicGroupsByOccupationalSeries[[#This Row],[White Male Average Salary]],"")</f>
        <v>1.0085115499548836</v>
      </c>
      <c r="T160" s="15" t="str">
        <f>IFERROR(PayGapsForMalesInRacialEthnicGroupsByOccupationalSeries[[#This Row],[Other Male Employees]]/U$318,"")</f>
        <v/>
      </c>
      <c r="U160" s="16" t="s">
        <v>0</v>
      </c>
      <c r="V160" s="17" t="s">
        <v>0</v>
      </c>
      <c r="W16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61" spans="1:23" ht="15.6" x14ac:dyDescent="0.3">
      <c r="A161" s="4" t="s">
        <v>326</v>
      </c>
      <c r="B161" s="25">
        <v>127</v>
      </c>
      <c r="C161" s="26">
        <v>103211.14173228299</v>
      </c>
      <c r="D161" s="15" t="str">
        <f>IFERROR(PayGapsForMalesInRacialEthnicGroupsByOccupationalSeries[[#This Row],[AIAN Male Employees]]/E$318,"")</f>
        <v/>
      </c>
      <c r="E161" s="16" t="s">
        <v>0</v>
      </c>
      <c r="F161" s="17" t="s">
        <v>0</v>
      </c>
      <c r="G161" s="18"/>
      <c r="H161" s="15" t="str">
        <f>IFERROR(PayGapsForMalesInRacialEthnicGroupsByOccupationalSeries[[#This Row],[ANHPI Male Employees]]/I$318,"")</f>
        <v/>
      </c>
      <c r="I161" s="16" t="s">
        <v>0</v>
      </c>
      <c r="J161" s="17" t="s">
        <v>0</v>
      </c>
      <c r="K161" s="18"/>
      <c r="L161" s="15" t="str">
        <f>IFERROR(PayGapsForMalesInRacialEthnicGroupsByOccupationalSeries[[#This Row],[Black Male Employees]]/M$318,"")</f>
        <v/>
      </c>
      <c r="M161" s="16" t="s">
        <v>0</v>
      </c>
      <c r="N161" s="17" t="s">
        <v>0</v>
      </c>
      <c r="O161" s="18" t="str">
        <f>IFERROR(PayGapsForMalesInRacialEthnicGroupsByOccupationalSeries[[#This Row],[Black Male Avg Salary]]/PayGapsForMalesInRacialEthnicGroupsByOccupationalSeries[[#This Row],[White Male Average Salary]],"")</f>
        <v/>
      </c>
      <c r="P161" s="15" t="str">
        <f>IFERROR(PayGapsForMalesInRacialEthnicGroupsByOccupationalSeries[[#This Row],[Hispanic Latino Male Employees]]/Q$318,"")</f>
        <v/>
      </c>
      <c r="Q161" s="16" t="s">
        <v>0</v>
      </c>
      <c r="R161" s="17" t="s">
        <v>0</v>
      </c>
      <c r="S16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61" s="15" t="str">
        <f>IFERROR(PayGapsForMalesInRacialEthnicGroupsByOccupationalSeries[[#This Row],[Other Male Employees]]/U$318,"")</f>
        <v/>
      </c>
      <c r="U161" s="16" t="s">
        <v>0</v>
      </c>
      <c r="V161" s="17" t="s">
        <v>0</v>
      </c>
      <c r="W16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62" spans="1:23" ht="15.6" x14ac:dyDescent="0.3">
      <c r="A162" s="4" t="s">
        <v>171</v>
      </c>
      <c r="B162" s="25">
        <v>9349</v>
      </c>
      <c r="C162" s="26">
        <v>110225.448379159</v>
      </c>
      <c r="D162" s="15" t="str">
        <f>IFERROR(PayGapsForMalesInRacialEthnicGroupsByOccupationalSeries[[#This Row],[AIAN Male Employees]]/E$318,"")</f>
        <v/>
      </c>
      <c r="E162" s="16" t="s">
        <v>0</v>
      </c>
      <c r="F162" s="17" t="s">
        <v>0</v>
      </c>
      <c r="G162" s="18" t="s">
        <v>0</v>
      </c>
      <c r="H162" s="15">
        <f>IFERROR(PayGapsForMalesInRacialEthnicGroupsByOccupationalSeries[[#This Row],[ANHPI Male Employees]]/I$318,"")</f>
        <v>1.8244307170542637E-2</v>
      </c>
      <c r="I162" s="16">
        <v>1205</v>
      </c>
      <c r="J162" s="17">
        <v>107575.843724023</v>
      </c>
      <c r="K162" s="18">
        <f>PayGapsForMalesInRacialEthnicGroupsByOccupationalSeries[[#This Row],[ANHPI Male Avg Salary]]/PayGapsForMalesInRacialEthnicGroupsByOccupationalSeries[[#This Row],[White Male Average Salary]]</f>
        <v>0.97596195167179756</v>
      </c>
      <c r="L162" s="15">
        <f>IFERROR(PayGapsForMalesInRacialEthnicGroupsByOccupationalSeries[[#This Row],[Black Male Employees]]/M$318,"")</f>
        <v>3.2396112466504018E-3</v>
      </c>
      <c r="M162" s="16">
        <v>405</v>
      </c>
      <c r="N162" s="17">
        <v>104241.10864197501</v>
      </c>
      <c r="O162" s="18">
        <f>IFERROR(PayGapsForMalesInRacialEthnicGroupsByOccupationalSeries[[#This Row],[Black Male Avg Salary]]/PayGapsForMalesInRacialEthnicGroupsByOccupationalSeries[[#This Row],[White Male Average Salary]],"")</f>
        <v>0.94570818422440195</v>
      </c>
      <c r="P162" s="15">
        <f>IFERROR(PayGapsForMalesInRacialEthnicGroupsByOccupationalSeries[[#This Row],[Hispanic Latino Male Employees]]/Q$318,"")</f>
        <v>8.1619792037242213E-3</v>
      </c>
      <c r="Q162" s="16">
        <v>803</v>
      </c>
      <c r="R162" s="17">
        <v>102217.915317559</v>
      </c>
      <c r="S162" s="18">
        <f>IFERROR(PayGapsForMalesInRacialEthnicGroupsByOccupationalSeries[[#This Row],[Hispanic Latino Male Avg Salary]]/PayGapsForMalesInRacialEthnicGroupsByOccupationalSeries[[#This Row],[White Male Average Salary]],"")</f>
        <v>0.92735313687221044</v>
      </c>
      <c r="T162" s="15">
        <f>IFERROR(PayGapsForMalesInRacialEthnicGroupsByOccupationalSeries[[#This Row],[Other Male Employees]]/U$318,"")</f>
        <v>1.4759005057281453E-2</v>
      </c>
      <c r="U162" s="16">
        <v>286</v>
      </c>
      <c r="V162" s="17">
        <v>95816.513986014004</v>
      </c>
      <c r="W162" s="18">
        <f>IFERROR(PayGapsForMalesInRacialEthnicGroupsByOccupationalSeries[[#This Row],[Other Male Avg Salary]]/PayGapsForMalesInRacialEthnicGroupsByOccupationalSeries[[#This Row],[White Male Average Salary]],"")</f>
        <v>0.86927760689545641</v>
      </c>
    </row>
    <row r="163" spans="1:23" ht="15.6" x14ac:dyDescent="0.3">
      <c r="A163" s="4" t="s">
        <v>172</v>
      </c>
      <c r="B163" s="25">
        <v>1894</v>
      </c>
      <c r="C163" s="26">
        <v>116362.57233368501</v>
      </c>
      <c r="D163" s="15" t="str">
        <f>IFERROR(PayGapsForMalesInRacialEthnicGroupsByOccupationalSeries[[#This Row],[AIAN Male Employees]]/E$318,"")</f>
        <v/>
      </c>
      <c r="E163" s="16" t="s">
        <v>0</v>
      </c>
      <c r="F163" s="17" t="s">
        <v>0</v>
      </c>
      <c r="G163" s="18" t="s">
        <v>0</v>
      </c>
      <c r="H163" s="15">
        <f>IFERROR(PayGapsForMalesInRacialEthnicGroupsByOccupationalSeries[[#This Row],[ANHPI Male Employees]]/I$318,"")</f>
        <v>4.4361676356589148E-3</v>
      </c>
      <c r="I163" s="16">
        <v>293</v>
      </c>
      <c r="J163" s="17">
        <v>108097.959044369</v>
      </c>
      <c r="K163" s="18">
        <f>PayGapsForMalesInRacialEthnicGroupsByOccupationalSeries[[#This Row],[ANHPI Male Avg Salary]]/PayGapsForMalesInRacialEthnicGroupsByOccupationalSeries[[#This Row],[White Male Average Salary]]</f>
        <v>0.92897533009483368</v>
      </c>
      <c r="L163" s="15">
        <f>IFERROR(PayGapsForMalesInRacialEthnicGroupsByOccupationalSeries[[#This Row],[Black Male Employees]]/M$318,"")</f>
        <v>5.0393952725672918E-4</v>
      </c>
      <c r="M163" s="16">
        <v>63</v>
      </c>
      <c r="N163" s="17">
        <v>111283.33333333299</v>
      </c>
      <c r="O163" s="18">
        <f>IFERROR(PayGapsForMalesInRacialEthnicGroupsByOccupationalSeries[[#This Row],[Black Male Avg Salary]]/PayGapsForMalesInRacialEthnicGroupsByOccupationalSeries[[#This Row],[White Male Average Salary]],"")</f>
        <v>0.95634989070380272</v>
      </c>
      <c r="P163" s="15">
        <f>IFERROR(PayGapsForMalesInRacialEthnicGroupsByOccupationalSeries[[#This Row],[Hispanic Latino Male Employees]]/Q$318,"")</f>
        <v>8.4364168606364926E-4</v>
      </c>
      <c r="Q163" s="16">
        <v>83</v>
      </c>
      <c r="R163" s="17">
        <v>112038.698795181</v>
      </c>
      <c r="S163" s="18">
        <f>IFERROR(PayGapsForMalesInRacialEthnicGroupsByOccupationalSeries[[#This Row],[Hispanic Latino Male Avg Salary]]/PayGapsForMalesInRacialEthnicGroupsByOccupationalSeries[[#This Row],[White Male Average Salary]],"")</f>
        <v>0.96284137199971198</v>
      </c>
      <c r="T163" s="15">
        <f>IFERROR(PayGapsForMalesInRacialEthnicGroupsByOccupationalSeries[[#This Row],[Other Male Employees]]/U$318,"")</f>
        <v>4.7992568892558573E-3</v>
      </c>
      <c r="U163" s="16">
        <v>93</v>
      </c>
      <c r="V163" s="17">
        <v>101924.11827957</v>
      </c>
      <c r="W163" s="18">
        <f>IFERROR(PayGapsForMalesInRacialEthnicGroupsByOccupationalSeries[[#This Row],[Other Male Avg Salary]]/PayGapsForMalesInRacialEthnicGroupsByOccupationalSeries[[#This Row],[White Male Average Salary]],"")</f>
        <v>0.87591840086938921</v>
      </c>
    </row>
    <row r="164" spans="1:23" ht="15.6" x14ac:dyDescent="0.3">
      <c r="A164" s="4" t="s">
        <v>173</v>
      </c>
      <c r="B164" s="25">
        <v>3155</v>
      </c>
      <c r="C164" s="26">
        <v>115417.112555485</v>
      </c>
      <c r="D164" s="15" t="str">
        <f>IFERROR(PayGapsForMalesInRacialEthnicGroupsByOccupationalSeries[[#This Row],[AIAN Male Employees]]/E$318,"")</f>
        <v/>
      </c>
      <c r="E164" s="16" t="s">
        <v>0</v>
      </c>
      <c r="F164" s="17" t="s">
        <v>0</v>
      </c>
      <c r="G164" s="18" t="s">
        <v>0</v>
      </c>
      <c r="H164" s="15">
        <f>IFERROR(PayGapsForMalesInRacialEthnicGroupsByOccupationalSeries[[#This Row],[ANHPI Male Employees]]/I$318,"")</f>
        <v>1.2475775193798449E-2</v>
      </c>
      <c r="I164" s="16">
        <v>824</v>
      </c>
      <c r="J164" s="17">
        <v>112115.33737864099</v>
      </c>
      <c r="K164" s="18">
        <f>PayGapsForMalesInRacialEthnicGroupsByOccupationalSeries[[#This Row],[ANHPI Male Avg Salary]]/PayGapsForMalesInRacialEthnicGroupsByOccupationalSeries[[#This Row],[White Male Average Salary]]</f>
        <v>0.97139267216326586</v>
      </c>
      <c r="L164" s="15">
        <f>IFERROR(PayGapsForMalesInRacialEthnicGroupsByOccupationalSeries[[#This Row],[Black Male Employees]]/M$318,"")</f>
        <v>3.0556333240011201E-3</v>
      </c>
      <c r="M164" s="16">
        <v>382</v>
      </c>
      <c r="N164" s="17">
        <v>111591.95811518301</v>
      </c>
      <c r="O164" s="18">
        <f>IFERROR(PayGapsForMalesInRacialEthnicGroupsByOccupationalSeries[[#This Row],[Black Male Avg Salary]]/PayGapsForMalesInRacialEthnicGroupsByOccupationalSeries[[#This Row],[White Male Average Salary]],"")</f>
        <v>0.96685799570264674</v>
      </c>
      <c r="P164" s="15">
        <f>IFERROR(PayGapsForMalesInRacialEthnicGroupsByOccupationalSeries[[#This Row],[Hispanic Latino Male Employees]]/Q$318,"")</f>
        <v>3.9539351310693919E-3</v>
      </c>
      <c r="Q164" s="16">
        <v>389</v>
      </c>
      <c r="R164" s="17">
        <v>108767.34447300799</v>
      </c>
      <c r="S164" s="18">
        <f>IFERROR(PayGapsForMalesInRacialEthnicGroupsByOccupationalSeries[[#This Row],[Hispanic Latino Male Avg Salary]]/PayGapsForMalesInRacialEthnicGroupsByOccupationalSeries[[#This Row],[White Male Average Salary]],"")</f>
        <v>0.94238490345805326</v>
      </c>
      <c r="T164" s="15">
        <f>IFERROR(PayGapsForMalesInRacialEthnicGroupsByOccupationalSeries[[#This Row],[Other Male Employees]]/U$318,"")</f>
        <v>5.3153060171328313E-3</v>
      </c>
      <c r="U164" s="16">
        <v>103</v>
      </c>
      <c r="V164" s="17">
        <v>106818.990291262</v>
      </c>
      <c r="W164" s="18">
        <f>IFERROR(PayGapsForMalesInRacialEthnicGroupsByOccupationalSeries[[#This Row],[Other Male Avg Salary]]/PayGapsForMalesInRacialEthnicGroupsByOccupationalSeries[[#This Row],[White Male Average Salary]],"")</f>
        <v>0.92550392161223416</v>
      </c>
    </row>
    <row r="165" spans="1:23" ht="15.6" x14ac:dyDescent="0.3">
      <c r="A165" s="4" t="s">
        <v>174</v>
      </c>
      <c r="B165" s="25">
        <v>2427</v>
      </c>
      <c r="C165" s="26">
        <v>122773.857319588</v>
      </c>
      <c r="D165" s="15" t="str">
        <f>IFERROR(PayGapsForMalesInRacialEthnicGroupsByOccupationalSeries[[#This Row],[AIAN Male Employees]]/E$318,"")</f>
        <v/>
      </c>
      <c r="E165" s="16" t="s">
        <v>0</v>
      </c>
      <c r="F165" s="17" t="s">
        <v>0</v>
      </c>
      <c r="G165" s="18" t="s">
        <v>0</v>
      </c>
      <c r="H165" s="15">
        <f>IFERROR(PayGapsForMalesInRacialEthnicGroupsByOccupationalSeries[[#This Row],[ANHPI Male Employees]]/I$318,"")</f>
        <v>1.0219840116279071E-2</v>
      </c>
      <c r="I165" s="16">
        <v>675</v>
      </c>
      <c r="J165" s="17">
        <v>124533.908148148</v>
      </c>
      <c r="K165" s="18">
        <f>PayGapsForMalesInRacialEthnicGroupsByOccupationalSeries[[#This Row],[ANHPI Male Avg Salary]]/PayGapsForMalesInRacialEthnicGroupsByOccupationalSeries[[#This Row],[White Male Average Salary]]</f>
        <v>1.0143357133756778</v>
      </c>
      <c r="L165" s="15">
        <f>IFERROR(PayGapsForMalesInRacialEthnicGroupsByOccupationalSeries[[#This Row],[Black Male Employees]]/M$318,"")</f>
        <v>2.0957485101787787E-3</v>
      </c>
      <c r="M165" s="16">
        <v>262</v>
      </c>
      <c r="N165" s="17">
        <v>117872.521072797</v>
      </c>
      <c r="O165" s="18">
        <f>IFERROR(PayGapsForMalesInRacialEthnicGroupsByOccupationalSeries[[#This Row],[Black Male Avg Salary]]/PayGapsForMalesInRacialEthnicGroupsByOccupationalSeries[[#This Row],[White Male Average Salary]],"")</f>
        <v>0.96007833952766897</v>
      </c>
      <c r="P165" s="15">
        <f>IFERROR(PayGapsForMalesInRacialEthnicGroupsByOccupationalSeries[[#This Row],[Hispanic Latino Male Employees]]/Q$318,"")</f>
        <v>3.6083469705131986E-3</v>
      </c>
      <c r="Q165" s="16">
        <v>355</v>
      </c>
      <c r="R165" s="17">
        <v>112739.090140845</v>
      </c>
      <c r="S165" s="18">
        <f>IFERROR(PayGapsForMalesInRacialEthnicGroupsByOccupationalSeries[[#This Row],[Hispanic Latino Male Avg Salary]]/PayGapsForMalesInRacialEthnicGroupsByOccupationalSeries[[#This Row],[White Male Average Salary]],"")</f>
        <v>0.91826625474003087</v>
      </c>
      <c r="T165" s="15" t="str">
        <f>IFERROR(PayGapsForMalesInRacialEthnicGroupsByOccupationalSeries[[#This Row],[Other Male Employees]]/U$318,"")</f>
        <v/>
      </c>
      <c r="U165" s="16" t="s">
        <v>0</v>
      </c>
      <c r="V165" s="17" t="s">
        <v>0</v>
      </c>
      <c r="W16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66" spans="1:23" ht="15.6" x14ac:dyDescent="0.3">
      <c r="A166" s="4" t="s">
        <v>175</v>
      </c>
      <c r="B166" s="25">
        <v>9311</v>
      </c>
      <c r="C166" s="26">
        <v>124826.687218045</v>
      </c>
      <c r="D166" s="15" t="str">
        <f>IFERROR(PayGapsForMalesInRacialEthnicGroupsByOccupationalSeries[[#This Row],[AIAN Male Employees]]/E$318,"")</f>
        <v/>
      </c>
      <c r="E166" s="16" t="s">
        <v>0</v>
      </c>
      <c r="F166" s="17" t="s">
        <v>0</v>
      </c>
      <c r="G166" s="18" t="s">
        <v>0</v>
      </c>
      <c r="H166" s="15">
        <f>IFERROR(PayGapsForMalesInRacialEthnicGroupsByOccupationalSeries[[#This Row],[ANHPI Male Employees]]/I$318,"")</f>
        <v>3.670058139534884E-2</v>
      </c>
      <c r="I166" s="16">
        <v>2424</v>
      </c>
      <c r="J166" s="17">
        <v>123258.62541254101</v>
      </c>
      <c r="K166" s="18">
        <f>PayGapsForMalesInRacialEthnicGroupsByOccupationalSeries[[#This Row],[ANHPI Male Avg Salary]]/PayGapsForMalesInRacialEthnicGroupsByOccupationalSeries[[#This Row],[White Male Average Salary]]</f>
        <v>0.98743808843725112</v>
      </c>
      <c r="L166" s="15">
        <f>IFERROR(PayGapsForMalesInRacialEthnicGroupsByOccupationalSeries[[#This Row],[Black Male Employees]]/M$318,"")</f>
        <v>7.2231332240131185E-3</v>
      </c>
      <c r="M166" s="16">
        <v>903</v>
      </c>
      <c r="N166" s="17">
        <v>116579.095238095</v>
      </c>
      <c r="O166" s="18">
        <f>IFERROR(PayGapsForMalesInRacialEthnicGroupsByOccupationalSeries[[#This Row],[Black Male Avg Salary]]/PayGapsForMalesInRacialEthnicGroupsByOccupationalSeries[[#This Row],[White Male Average Salary]],"")</f>
        <v>0.93392765470461259</v>
      </c>
      <c r="P166" s="15">
        <f>IFERROR(PayGapsForMalesInRacialEthnicGroupsByOccupationalSeries[[#This Row],[Hispanic Latino Male Employees]]/Q$318,"")</f>
        <v>1.1658518239939826E-2</v>
      </c>
      <c r="Q166" s="16">
        <v>1147</v>
      </c>
      <c r="R166" s="17">
        <v>115768.45161290299</v>
      </c>
      <c r="S166" s="18">
        <f>IFERROR(PayGapsForMalesInRacialEthnicGroupsByOccupationalSeries[[#This Row],[Hispanic Latino Male Avg Salary]]/PayGapsForMalesInRacialEthnicGroupsByOccupationalSeries[[#This Row],[White Male Average Salary]],"")</f>
        <v>0.92743350154507231</v>
      </c>
      <c r="T166" s="15">
        <f>IFERROR(PayGapsForMalesInRacialEthnicGroupsByOccupationalSeries[[#This Row],[Other Male Employees]]/U$318,"")</f>
        <v>1.6152337702549282E-2</v>
      </c>
      <c r="U166" s="16">
        <v>313</v>
      </c>
      <c r="V166" s="17">
        <v>105770.61341853</v>
      </c>
      <c r="W166" s="18">
        <f>IFERROR(PayGapsForMalesInRacialEthnicGroupsByOccupationalSeries[[#This Row],[Other Male Avg Salary]]/PayGapsForMalesInRacialEthnicGroupsByOccupationalSeries[[#This Row],[White Male Average Salary]],"")</f>
        <v>0.84733974581710891</v>
      </c>
    </row>
    <row r="167" spans="1:23" ht="15.6" x14ac:dyDescent="0.3">
      <c r="A167" s="4" t="s">
        <v>176</v>
      </c>
      <c r="B167" s="25">
        <v>5806</v>
      </c>
      <c r="C167" s="26">
        <v>95851.022739017993</v>
      </c>
      <c r="D167" s="15" t="str">
        <f>IFERROR(PayGapsForMalesInRacialEthnicGroupsByOccupationalSeries[[#This Row],[AIAN Male Employees]]/E$318,"")</f>
        <v/>
      </c>
      <c r="E167" s="16" t="s">
        <v>0</v>
      </c>
      <c r="F167" s="17" t="s">
        <v>0</v>
      </c>
      <c r="G167" s="18" t="s">
        <v>0</v>
      </c>
      <c r="H167" s="15">
        <f>IFERROR(PayGapsForMalesInRacialEthnicGroupsByOccupationalSeries[[#This Row],[ANHPI Male Employees]]/I$318,"")</f>
        <v>4.9055232558139535E-3</v>
      </c>
      <c r="I167" s="16">
        <v>324</v>
      </c>
      <c r="J167" s="17">
        <v>94722.148148148</v>
      </c>
      <c r="K167" s="18">
        <f>PayGapsForMalesInRacialEthnicGroupsByOccupationalSeries[[#This Row],[ANHPI Male Avg Salary]]/PayGapsForMalesInRacialEthnicGroupsByOccupationalSeries[[#This Row],[White Male Average Salary]]</f>
        <v>0.98822261298198477</v>
      </c>
      <c r="L167" s="15">
        <f>IFERROR(PayGapsForMalesInRacialEthnicGroupsByOccupationalSeries[[#This Row],[Black Male Employees]]/M$318,"")</f>
        <v>4.9834019917609886E-3</v>
      </c>
      <c r="M167" s="16">
        <v>623</v>
      </c>
      <c r="N167" s="17">
        <v>92046.666131620994</v>
      </c>
      <c r="O167" s="18">
        <f>IFERROR(PayGapsForMalesInRacialEthnicGroupsByOccupationalSeries[[#This Row],[Black Male Avg Salary]]/PayGapsForMalesInRacialEthnicGroupsByOccupationalSeries[[#This Row],[White Male Average Salary]],"")</f>
        <v>0.96030969207542571</v>
      </c>
      <c r="P167" s="15">
        <f>IFERROR(PayGapsForMalesInRacialEthnicGroupsByOccupationalSeries[[#This Row],[Hispanic Latino Male Employees]]/Q$318,"")</f>
        <v>6.576339408231097E-3</v>
      </c>
      <c r="Q167" s="16">
        <v>647</v>
      </c>
      <c r="R167" s="17">
        <v>91587.591962905994</v>
      </c>
      <c r="S167" s="18">
        <f>IFERROR(PayGapsForMalesInRacialEthnicGroupsByOccupationalSeries[[#This Row],[Hispanic Latino Male Avg Salary]]/PayGapsForMalesInRacialEthnicGroupsByOccupationalSeries[[#This Row],[White Male Average Salary]],"")</f>
        <v>0.95552023698567701</v>
      </c>
      <c r="T167" s="15">
        <f>IFERROR(PayGapsForMalesInRacialEthnicGroupsByOccupationalSeries[[#This Row],[Other Male Employees]]/U$318,"")</f>
        <v>1.0062957993600991E-2</v>
      </c>
      <c r="U167" s="16">
        <v>195</v>
      </c>
      <c r="V167" s="17">
        <v>90952.538461538003</v>
      </c>
      <c r="W167" s="18">
        <f>IFERROR(PayGapsForMalesInRacialEthnicGroupsByOccupationalSeries[[#This Row],[Other Male Avg Salary]]/PayGapsForMalesInRacialEthnicGroupsByOccupationalSeries[[#This Row],[White Male Average Salary]],"")</f>
        <v>0.9488948147082632</v>
      </c>
    </row>
    <row r="168" spans="1:23" ht="31.2" x14ac:dyDescent="0.3">
      <c r="A168" s="4" t="s">
        <v>177</v>
      </c>
      <c r="B168" s="25">
        <v>291</v>
      </c>
      <c r="C168" s="26">
        <v>123588.19243986301</v>
      </c>
      <c r="D168" s="15" t="str">
        <f>IFERROR(PayGapsForMalesInRacialEthnicGroupsByOccupationalSeries[[#This Row],[AIAN Male Employees]]/E$318,"")</f>
        <v/>
      </c>
      <c r="E168" s="16" t="s">
        <v>0</v>
      </c>
      <c r="F168" s="17" t="s">
        <v>0</v>
      </c>
      <c r="G168" s="18" t="s">
        <v>0</v>
      </c>
      <c r="H168" s="15">
        <f>IFERROR(PayGapsForMalesInRacialEthnicGroupsByOccupationalSeries[[#This Row],[ANHPI Male Employees]]/I$318,"")</f>
        <v>1.2869428294573642E-3</v>
      </c>
      <c r="I168" s="16">
        <v>85</v>
      </c>
      <c r="J168" s="17">
        <v>117132.48235294101</v>
      </c>
      <c r="K168" s="18">
        <f>PayGapsForMalesInRacialEthnicGroupsByOccupationalSeries[[#This Row],[ANHPI Male Avg Salary]]/PayGapsForMalesInRacialEthnicGroupsByOccupationalSeries[[#This Row],[White Male Average Salary]]</f>
        <v>0.94776434577224444</v>
      </c>
      <c r="L168" s="15" t="str">
        <f>IFERROR(PayGapsForMalesInRacialEthnicGroupsByOccupationalSeries[[#This Row],[Black Male Employees]]/M$318,"")</f>
        <v/>
      </c>
      <c r="M168" s="16" t="s">
        <v>0</v>
      </c>
      <c r="N168" s="17" t="s">
        <v>0</v>
      </c>
      <c r="O168" s="18" t="str">
        <f>IFERROR(PayGapsForMalesInRacialEthnicGroupsByOccupationalSeries[[#This Row],[Black Male Avg Salary]]/PayGapsForMalesInRacialEthnicGroupsByOccupationalSeries[[#This Row],[White Male Average Salary]],"")</f>
        <v/>
      </c>
      <c r="P168" s="15" t="str">
        <f>IFERROR(PayGapsForMalesInRacialEthnicGroupsByOccupationalSeries[[#This Row],[Hispanic Latino Male Employees]]/Q$318,"")</f>
        <v/>
      </c>
      <c r="Q168" s="16" t="s">
        <v>0</v>
      </c>
      <c r="R168" s="17" t="s">
        <v>0</v>
      </c>
      <c r="S16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68" s="15" t="str">
        <f>IFERROR(PayGapsForMalesInRacialEthnicGroupsByOccupationalSeries[[#This Row],[Other Male Employees]]/U$318,"")</f>
        <v/>
      </c>
      <c r="U168" s="16" t="s">
        <v>0</v>
      </c>
      <c r="V168" s="17" t="s">
        <v>0</v>
      </c>
      <c r="W16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69" spans="1:23" ht="15.6" x14ac:dyDescent="0.3">
      <c r="A169" s="4" t="s">
        <v>178</v>
      </c>
      <c r="B169" s="25">
        <v>5969</v>
      </c>
      <c r="C169" s="26">
        <v>129981.132182945</v>
      </c>
      <c r="D169" s="15" t="str">
        <f>IFERROR(PayGapsForMalesInRacialEthnicGroupsByOccupationalSeries[[#This Row],[AIAN Male Employees]]/E$318,"")</f>
        <v/>
      </c>
      <c r="E169" s="16" t="s">
        <v>0</v>
      </c>
      <c r="F169" s="17" t="s">
        <v>0</v>
      </c>
      <c r="G169" s="18" t="s">
        <v>0</v>
      </c>
      <c r="H169" s="15">
        <f>IFERROR(PayGapsForMalesInRacialEthnicGroupsByOccupationalSeries[[#This Row],[ANHPI Male Employees]]/I$318,"")</f>
        <v>1.0340964147286821E-2</v>
      </c>
      <c r="I169" s="16">
        <v>683</v>
      </c>
      <c r="J169" s="17">
        <v>132366.59004392399</v>
      </c>
      <c r="K169" s="18">
        <f>PayGapsForMalesInRacialEthnicGroupsByOccupationalSeries[[#This Row],[ANHPI Male Avg Salary]]/PayGapsForMalesInRacialEthnicGroupsByOccupationalSeries[[#This Row],[White Male Average Salary]]</f>
        <v>1.0183523394581724</v>
      </c>
      <c r="L169" s="15">
        <f>IFERROR(PayGapsForMalesInRacialEthnicGroupsByOccupationalSeries[[#This Row],[Black Male Employees]]/M$318,"")</f>
        <v>2.2477302723673161E-3</v>
      </c>
      <c r="M169" s="16">
        <v>281</v>
      </c>
      <c r="N169" s="17">
        <v>132602.79003558701</v>
      </c>
      <c r="O169" s="18">
        <f>IFERROR(PayGapsForMalesInRacialEthnicGroupsByOccupationalSeries[[#This Row],[Black Male Avg Salary]]/PayGapsForMalesInRacialEthnicGroupsByOccupationalSeries[[#This Row],[White Male Average Salary]],"")</f>
        <v>1.0201695262120973</v>
      </c>
      <c r="P169" s="15">
        <f>IFERROR(PayGapsForMalesInRacialEthnicGroupsByOccupationalSeries[[#This Row],[Hispanic Latino Male Employees]]/Q$318,"")</f>
        <v>5.3261234156307489E-3</v>
      </c>
      <c r="Q169" s="16">
        <v>524</v>
      </c>
      <c r="R169" s="17">
        <v>126743.433206107</v>
      </c>
      <c r="S169" s="18">
        <f>IFERROR(PayGapsForMalesInRacialEthnicGroupsByOccupationalSeries[[#This Row],[Hispanic Latino Male Avg Salary]]/PayGapsForMalesInRacialEthnicGroupsByOccupationalSeries[[#This Row],[White Male Average Salary]],"")</f>
        <v>0.97509100803737403</v>
      </c>
      <c r="T169" s="15">
        <f>IFERROR(PayGapsForMalesInRacialEthnicGroupsByOccupationalSeries[[#This Row],[Other Male Employees]]/U$318,"")</f>
        <v>5.8829600577975025E-3</v>
      </c>
      <c r="U169" s="16">
        <v>114</v>
      </c>
      <c r="V169" s="17">
        <v>114916.69298245601</v>
      </c>
      <c r="W169" s="18">
        <f>IFERROR(PayGapsForMalesInRacialEthnicGroupsByOccupationalSeries[[#This Row],[Other Male Avg Salary]]/PayGapsForMalesInRacialEthnicGroupsByOccupationalSeries[[#This Row],[White Male Average Salary]],"")</f>
        <v>0.88410287749081773</v>
      </c>
    </row>
    <row r="170" spans="1:23" ht="15.6" x14ac:dyDescent="0.3">
      <c r="A170" s="4" t="s">
        <v>179</v>
      </c>
      <c r="B170" s="25">
        <v>626</v>
      </c>
      <c r="C170" s="26">
        <v>120422.71086262001</v>
      </c>
      <c r="D170" s="15" t="str">
        <f>IFERROR(PayGapsForMalesInRacialEthnicGroupsByOccupationalSeries[[#This Row],[AIAN Male Employees]]/E$318,"")</f>
        <v/>
      </c>
      <c r="E170" s="16" t="s">
        <v>0</v>
      </c>
      <c r="F170" s="17" t="s">
        <v>0</v>
      </c>
      <c r="G170" s="18" t="s">
        <v>0</v>
      </c>
      <c r="H170" s="15">
        <f>IFERROR(PayGapsForMalesInRacialEthnicGroupsByOccupationalSeries[[#This Row],[ANHPI Male Employees]]/I$318,"")</f>
        <v>1.2718023255813954E-3</v>
      </c>
      <c r="I170" s="16">
        <v>84</v>
      </c>
      <c r="J170" s="17">
        <v>111413.011904762</v>
      </c>
      <c r="K170" s="18">
        <f>PayGapsForMalesInRacialEthnicGroupsByOccupationalSeries[[#This Row],[ANHPI Male Avg Salary]]/PayGapsForMalesInRacialEthnicGroupsByOccupationalSeries[[#This Row],[White Male Average Salary]]</f>
        <v>0.92518272597154527</v>
      </c>
      <c r="L170" s="15" t="str">
        <f>IFERROR(PayGapsForMalesInRacialEthnicGroupsByOccupationalSeries[[#This Row],[Black Male Employees]]/M$318,"")</f>
        <v/>
      </c>
      <c r="M170" s="16" t="s">
        <v>0</v>
      </c>
      <c r="N170" s="17" t="s">
        <v>0</v>
      </c>
      <c r="O170" s="18" t="str">
        <f>IFERROR(PayGapsForMalesInRacialEthnicGroupsByOccupationalSeries[[#This Row],[Black Male Avg Salary]]/PayGapsForMalesInRacialEthnicGroupsByOccupationalSeries[[#This Row],[White Male Average Salary]],"")</f>
        <v/>
      </c>
      <c r="P170" s="15" t="str">
        <f>IFERROR(PayGapsForMalesInRacialEthnicGroupsByOccupationalSeries[[#This Row],[Hispanic Latino Male Employees]]/Q$318,"")</f>
        <v/>
      </c>
      <c r="Q170" s="16" t="s">
        <v>0</v>
      </c>
      <c r="R170" s="17" t="s">
        <v>0</v>
      </c>
      <c r="S17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70" s="15" t="str">
        <f>IFERROR(PayGapsForMalesInRacialEthnicGroupsByOccupationalSeries[[#This Row],[Other Male Employees]]/U$318,"")</f>
        <v/>
      </c>
      <c r="U170" s="16" t="s">
        <v>0</v>
      </c>
      <c r="V170" s="17" t="s">
        <v>0</v>
      </c>
      <c r="W17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71" spans="1:23" ht="15.6" x14ac:dyDescent="0.3">
      <c r="A171" s="4" t="s">
        <v>180</v>
      </c>
      <c r="B171" s="25">
        <v>107</v>
      </c>
      <c r="C171" s="26">
        <v>107425.813084112</v>
      </c>
      <c r="D171" s="15" t="str">
        <f>IFERROR(PayGapsForMalesInRacialEthnicGroupsByOccupationalSeries[[#This Row],[AIAN Male Employees]]/E$318,"")</f>
        <v/>
      </c>
      <c r="E171" s="16" t="s">
        <v>0</v>
      </c>
      <c r="F171" s="17" t="s">
        <v>0</v>
      </c>
      <c r="G171" s="18" t="s">
        <v>0</v>
      </c>
      <c r="H171" s="15" t="str">
        <f>IFERROR(PayGapsForMalesInRacialEthnicGroupsByOccupationalSeries[[#This Row],[ANHPI Male Employees]]/I$318,"")</f>
        <v/>
      </c>
      <c r="I171" s="16" t="s">
        <v>0</v>
      </c>
      <c r="J171" s="17" t="s">
        <v>0</v>
      </c>
      <c r="K171" s="18" t="s">
        <v>0</v>
      </c>
      <c r="L171" s="15" t="str">
        <f>IFERROR(PayGapsForMalesInRacialEthnicGroupsByOccupationalSeries[[#This Row],[Black Male Employees]]/M$318,"")</f>
        <v/>
      </c>
      <c r="M171" s="16" t="s">
        <v>0</v>
      </c>
      <c r="N171" s="17" t="s">
        <v>0</v>
      </c>
      <c r="O171" s="18" t="str">
        <f>IFERROR(PayGapsForMalesInRacialEthnicGroupsByOccupationalSeries[[#This Row],[Black Male Avg Salary]]/PayGapsForMalesInRacialEthnicGroupsByOccupationalSeries[[#This Row],[White Male Average Salary]],"")</f>
        <v/>
      </c>
      <c r="P171" s="15" t="str">
        <f>IFERROR(PayGapsForMalesInRacialEthnicGroupsByOccupationalSeries[[#This Row],[Hispanic Latino Male Employees]]/Q$318,"")</f>
        <v/>
      </c>
      <c r="Q171" s="16" t="s">
        <v>0</v>
      </c>
      <c r="R171" s="17" t="s">
        <v>0</v>
      </c>
      <c r="S17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71" s="15" t="str">
        <f>IFERROR(PayGapsForMalesInRacialEthnicGroupsByOccupationalSeries[[#This Row],[Other Male Employees]]/U$318,"")</f>
        <v/>
      </c>
      <c r="U171" s="16" t="s">
        <v>0</v>
      </c>
      <c r="V171" s="17" t="s">
        <v>0</v>
      </c>
      <c r="W17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72" spans="1:23" ht="15.6" x14ac:dyDescent="0.3">
      <c r="A172" s="4" t="s">
        <v>181</v>
      </c>
      <c r="B172" s="25">
        <v>181</v>
      </c>
      <c r="C172" s="26">
        <v>125002.683333333</v>
      </c>
      <c r="D172" s="15" t="str">
        <f>IFERROR(PayGapsForMalesInRacialEthnicGroupsByOccupationalSeries[[#This Row],[AIAN Male Employees]]/E$318,"")</f>
        <v/>
      </c>
      <c r="E172" s="16" t="s">
        <v>0</v>
      </c>
      <c r="F172" s="17" t="s">
        <v>0</v>
      </c>
      <c r="G172" s="18" t="s">
        <v>0</v>
      </c>
      <c r="H172" s="15" t="str">
        <f>IFERROR(PayGapsForMalesInRacialEthnicGroupsByOccupationalSeries[[#This Row],[ANHPI Male Employees]]/I$318,"")</f>
        <v/>
      </c>
      <c r="I172" s="16" t="s">
        <v>0</v>
      </c>
      <c r="J172" s="17" t="s">
        <v>0</v>
      </c>
      <c r="K172" s="18" t="s">
        <v>0</v>
      </c>
      <c r="L172" s="15" t="str">
        <f>IFERROR(PayGapsForMalesInRacialEthnicGroupsByOccupationalSeries[[#This Row],[Black Male Employees]]/M$318,"")</f>
        <v/>
      </c>
      <c r="M172" s="16" t="s">
        <v>0</v>
      </c>
      <c r="N172" s="17" t="s">
        <v>0</v>
      </c>
      <c r="O172" s="18" t="str">
        <f>IFERROR(PayGapsForMalesInRacialEthnicGroupsByOccupationalSeries[[#This Row],[Black Male Avg Salary]]/PayGapsForMalesInRacialEthnicGroupsByOccupationalSeries[[#This Row],[White Male Average Salary]],"")</f>
        <v/>
      </c>
      <c r="P172" s="15" t="str">
        <f>IFERROR(PayGapsForMalesInRacialEthnicGroupsByOccupationalSeries[[#This Row],[Hispanic Latino Male Employees]]/Q$318,"")</f>
        <v/>
      </c>
      <c r="Q172" s="16" t="s">
        <v>0</v>
      </c>
      <c r="R172" s="17" t="s">
        <v>0</v>
      </c>
      <c r="S17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72" s="15" t="str">
        <f>IFERROR(PayGapsForMalesInRacialEthnicGroupsByOccupationalSeries[[#This Row],[Other Male Employees]]/U$318,"")</f>
        <v/>
      </c>
      <c r="U172" s="16" t="s">
        <v>0</v>
      </c>
      <c r="V172" s="17" t="s">
        <v>0</v>
      </c>
      <c r="W17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73" spans="1:23" ht="15.6" x14ac:dyDescent="0.3">
      <c r="A173" s="4" t="s">
        <v>182</v>
      </c>
      <c r="B173" s="25">
        <v>209</v>
      </c>
      <c r="C173" s="26">
        <v>98090.167464115002</v>
      </c>
      <c r="D173" s="15" t="str">
        <f>IFERROR(PayGapsForMalesInRacialEthnicGroupsByOccupationalSeries[[#This Row],[AIAN Male Employees]]/E$318,"")</f>
        <v/>
      </c>
      <c r="E173" s="16" t="s">
        <v>0</v>
      </c>
      <c r="F173" s="17" t="s">
        <v>0</v>
      </c>
      <c r="G173" s="18" t="s">
        <v>0</v>
      </c>
      <c r="H173" s="15" t="str">
        <f>IFERROR(PayGapsForMalesInRacialEthnicGroupsByOccupationalSeries[[#This Row],[ANHPI Male Employees]]/I$318,"")</f>
        <v/>
      </c>
      <c r="I173" s="16" t="s">
        <v>0</v>
      </c>
      <c r="J173" s="17" t="s">
        <v>0</v>
      </c>
      <c r="K173" s="18" t="s">
        <v>0</v>
      </c>
      <c r="L173" s="15" t="str">
        <f>IFERROR(PayGapsForMalesInRacialEthnicGroupsByOccupationalSeries[[#This Row],[Black Male Employees]]/M$318,"")</f>
        <v/>
      </c>
      <c r="M173" s="16" t="s">
        <v>0</v>
      </c>
      <c r="N173" s="17" t="s">
        <v>0</v>
      </c>
      <c r="O173" s="18" t="str">
        <f>IFERROR(PayGapsForMalesInRacialEthnicGroupsByOccupationalSeries[[#This Row],[Black Male Avg Salary]]/PayGapsForMalesInRacialEthnicGroupsByOccupationalSeries[[#This Row],[White Male Average Salary]],"")</f>
        <v/>
      </c>
      <c r="P173" s="15" t="str">
        <f>IFERROR(PayGapsForMalesInRacialEthnicGroupsByOccupationalSeries[[#This Row],[Hispanic Latino Male Employees]]/Q$318,"")</f>
        <v/>
      </c>
      <c r="Q173" s="16" t="s">
        <v>0</v>
      </c>
      <c r="R173" s="17" t="s">
        <v>0</v>
      </c>
      <c r="S17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73" s="15" t="str">
        <f>IFERROR(PayGapsForMalesInRacialEthnicGroupsByOccupationalSeries[[#This Row],[Other Male Employees]]/U$318,"")</f>
        <v/>
      </c>
      <c r="U173" s="16" t="s">
        <v>0</v>
      </c>
      <c r="V173" s="17" t="s">
        <v>0</v>
      </c>
      <c r="W17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74" spans="1:23" ht="15.6" x14ac:dyDescent="0.3">
      <c r="A174" s="4" t="s">
        <v>183</v>
      </c>
      <c r="B174" s="25">
        <v>459</v>
      </c>
      <c r="C174" s="26">
        <v>126330.849673203</v>
      </c>
      <c r="D174" s="15" t="str">
        <f>IFERROR(PayGapsForMalesInRacialEthnicGroupsByOccupationalSeries[[#This Row],[AIAN Male Employees]]/E$318,"")</f>
        <v/>
      </c>
      <c r="E174" s="16" t="s">
        <v>0</v>
      </c>
      <c r="F174" s="17" t="s">
        <v>0</v>
      </c>
      <c r="G174" s="18" t="s">
        <v>0</v>
      </c>
      <c r="H174" s="15">
        <f>IFERROR(PayGapsForMalesInRacialEthnicGroupsByOccupationalSeries[[#This Row],[ANHPI Male Employees]]/I$318,"")</f>
        <v>1.2112403100775194E-3</v>
      </c>
      <c r="I174" s="16">
        <v>80</v>
      </c>
      <c r="J174" s="17">
        <v>122136.33749999999</v>
      </c>
      <c r="K174" s="18">
        <f>PayGapsForMalesInRacialEthnicGroupsByOccupationalSeries[[#This Row],[ANHPI Male Avg Salary]]/PayGapsForMalesInRacialEthnicGroupsByOccupationalSeries[[#This Row],[White Male Average Salary]]</f>
        <v>0.96679740392743718</v>
      </c>
      <c r="L174" s="15" t="str">
        <f>IFERROR(PayGapsForMalesInRacialEthnicGroupsByOccupationalSeries[[#This Row],[Black Male Employees]]/M$318,"")</f>
        <v/>
      </c>
      <c r="M174" s="16" t="s">
        <v>0</v>
      </c>
      <c r="N174" s="17" t="s">
        <v>0</v>
      </c>
      <c r="O174" s="18" t="str">
        <f>IFERROR(PayGapsForMalesInRacialEthnicGroupsByOccupationalSeries[[#This Row],[Black Male Avg Salary]]/PayGapsForMalesInRacialEthnicGroupsByOccupationalSeries[[#This Row],[White Male Average Salary]],"")</f>
        <v/>
      </c>
      <c r="P174" s="15" t="str">
        <f>IFERROR(PayGapsForMalesInRacialEthnicGroupsByOccupationalSeries[[#This Row],[Hispanic Latino Male Employees]]/Q$318,"")</f>
        <v/>
      </c>
      <c r="Q174" s="16" t="s">
        <v>0</v>
      </c>
      <c r="R174" s="17" t="s">
        <v>0</v>
      </c>
      <c r="S17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74" s="15" t="str">
        <f>IFERROR(PayGapsForMalesInRacialEthnicGroupsByOccupationalSeries[[#This Row],[Other Male Employees]]/U$318,"")</f>
        <v/>
      </c>
      <c r="U174" s="16" t="s">
        <v>0</v>
      </c>
      <c r="V174" s="17" t="s">
        <v>0</v>
      </c>
      <c r="W17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75" spans="1:23" ht="31.2" x14ac:dyDescent="0.3">
      <c r="A175" s="4" t="s">
        <v>184</v>
      </c>
      <c r="B175" s="25">
        <v>736</v>
      </c>
      <c r="C175" s="26">
        <v>76961.970108695998</v>
      </c>
      <c r="D175" s="15" t="str">
        <f>IFERROR(PayGapsForMalesInRacialEthnicGroupsByOccupationalSeries[[#This Row],[AIAN Male Employees]]/E$318,"")</f>
        <v/>
      </c>
      <c r="E175" s="16" t="s">
        <v>0</v>
      </c>
      <c r="F175" s="17" t="s">
        <v>0</v>
      </c>
      <c r="G175" s="18" t="s">
        <v>0</v>
      </c>
      <c r="H175" s="15" t="str">
        <f>IFERROR(PayGapsForMalesInRacialEthnicGroupsByOccupationalSeries[[#This Row],[ANHPI Male Employees]]/I$318,"")</f>
        <v/>
      </c>
      <c r="I175" s="16" t="s">
        <v>0</v>
      </c>
      <c r="J175" s="17" t="s">
        <v>0</v>
      </c>
      <c r="K175" s="18" t="s">
        <v>0</v>
      </c>
      <c r="L175" s="15" t="str">
        <f>IFERROR(PayGapsForMalesInRacialEthnicGroupsByOccupationalSeries[[#This Row],[Black Male Employees]]/M$318,"")</f>
        <v/>
      </c>
      <c r="M175" s="16" t="s">
        <v>0</v>
      </c>
      <c r="N175" s="17" t="s">
        <v>0</v>
      </c>
      <c r="O175" s="18" t="str">
        <f>IFERROR(PayGapsForMalesInRacialEthnicGroupsByOccupationalSeries[[#This Row],[Black Male Avg Salary]]/PayGapsForMalesInRacialEthnicGroupsByOccupationalSeries[[#This Row],[White Male Average Salary]],"")</f>
        <v/>
      </c>
      <c r="P175" s="15" t="str">
        <f>IFERROR(PayGapsForMalesInRacialEthnicGroupsByOccupationalSeries[[#This Row],[Hispanic Latino Male Employees]]/Q$318,"")</f>
        <v/>
      </c>
      <c r="Q175" s="16" t="s">
        <v>0</v>
      </c>
      <c r="R175" s="17" t="s">
        <v>0</v>
      </c>
      <c r="S17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75" s="15" t="str">
        <f>IFERROR(PayGapsForMalesInRacialEthnicGroupsByOccupationalSeries[[#This Row],[Other Male Employees]]/U$318,"")</f>
        <v/>
      </c>
      <c r="U175" s="16" t="s">
        <v>0</v>
      </c>
      <c r="V175" s="17" t="s">
        <v>0</v>
      </c>
      <c r="W17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76" spans="1:23" ht="15.6" x14ac:dyDescent="0.3">
      <c r="A176" s="4" t="s">
        <v>185</v>
      </c>
      <c r="B176" s="25">
        <v>468</v>
      </c>
      <c r="C176" s="26">
        <v>114538.534188034</v>
      </c>
      <c r="D176" s="15" t="str">
        <f>IFERROR(PayGapsForMalesInRacialEthnicGroupsByOccupationalSeries[[#This Row],[AIAN Male Employees]]/E$318,"")</f>
        <v/>
      </c>
      <c r="E176" s="16" t="s">
        <v>0</v>
      </c>
      <c r="F176" s="17" t="s">
        <v>0</v>
      </c>
      <c r="G176" s="18" t="s">
        <v>0</v>
      </c>
      <c r="H176" s="15" t="str">
        <f>IFERROR(PayGapsForMalesInRacialEthnicGroupsByOccupationalSeries[[#This Row],[ANHPI Male Employees]]/I$318,"")</f>
        <v/>
      </c>
      <c r="I176" s="16" t="s">
        <v>0</v>
      </c>
      <c r="J176" s="17" t="s">
        <v>0</v>
      </c>
      <c r="K176" s="18" t="s">
        <v>0</v>
      </c>
      <c r="L176" s="15" t="str">
        <f>IFERROR(PayGapsForMalesInRacialEthnicGroupsByOccupationalSeries[[#This Row],[Black Male Employees]]/M$318,"")</f>
        <v/>
      </c>
      <c r="M176" s="16" t="s">
        <v>0</v>
      </c>
      <c r="N176" s="17" t="s">
        <v>0</v>
      </c>
      <c r="O176" s="18" t="str">
        <f>IFERROR(PayGapsForMalesInRacialEthnicGroupsByOccupationalSeries[[#This Row],[Black Male Avg Salary]]/PayGapsForMalesInRacialEthnicGroupsByOccupationalSeries[[#This Row],[White Male Average Salary]],"")</f>
        <v/>
      </c>
      <c r="P176" s="15" t="str">
        <f>IFERROR(PayGapsForMalesInRacialEthnicGroupsByOccupationalSeries[[#This Row],[Hispanic Latino Male Employees]]/Q$318,"")</f>
        <v/>
      </c>
      <c r="Q176" s="16" t="s">
        <v>0</v>
      </c>
      <c r="R176" s="17" t="s">
        <v>0</v>
      </c>
      <c r="S17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76" s="15" t="str">
        <f>IFERROR(PayGapsForMalesInRacialEthnicGroupsByOccupationalSeries[[#This Row],[Other Male Employees]]/U$318,"")</f>
        <v/>
      </c>
      <c r="U176" s="16" t="s">
        <v>0</v>
      </c>
      <c r="V176" s="17" t="s">
        <v>0</v>
      </c>
      <c r="W17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77" spans="1:23" ht="31.2" x14ac:dyDescent="0.3">
      <c r="A177" s="4" t="s">
        <v>186</v>
      </c>
      <c r="B177" s="25">
        <v>99</v>
      </c>
      <c r="C177" s="26">
        <v>49917.102040815997</v>
      </c>
      <c r="D177" s="15" t="str">
        <f>IFERROR(PayGapsForMalesInRacialEthnicGroupsByOccupationalSeries[[#This Row],[AIAN Male Employees]]/E$318,"")</f>
        <v/>
      </c>
      <c r="E177" s="16" t="s">
        <v>0</v>
      </c>
      <c r="F177" s="17" t="s">
        <v>0</v>
      </c>
      <c r="G177" s="18" t="s">
        <v>0</v>
      </c>
      <c r="H177" s="15" t="str">
        <f>IFERROR(PayGapsForMalesInRacialEthnicGroupsByOccupationalSeries[[#This Row],[ANHPI Male Employees]]/I$318,"")</f>
        <v/>
      </c>
      <c r="I177" s="16" t="s">
        <v>0</v>
      </c>
      <c r="J177" s="17" t="s">
        <v>0</v>
      </c>
      <c r="K177" s="18" t="s">
        <v>0</v>
      </c>
      <c r="L177" s="15" t="str">
        <f>IFERROR(PayGapsForMalesInRacialEthnicGroupsByOccupationalSeries[[#This Row],[Black Male Employees]]/M$318,"")</f>
        <v/>
      </c>
      <c r="M177" s="16" t="s">
        <v>0</v>
      </c>
      <c r="N177" s="17" t="s">
        <v>0</v>
      </c>
      <c r="O177" s="18" t="str">
        <f>IFERROR(PayGapsForMalesInRacialEthnicGroupsByOccupationalSeries[[#This Row],[Black Male Avg Salary]]/PayGapsForMalesInRacialEthnicGroupsByOccupationalSeries[[#This Row],[White Male Average Salary]],"")</f>
        <v/>
      </c>
      <c r="P177" s="15" t="str">
        <f>IFERROR(PayGapsForMalesInRacialEthnicGroupsByOccupationalSeries[[#This Row],[Hispanic Latino Male Employees]]/Q$318,"")</f>
        <v/>
      </c>
      <c r="Q177" s="16" t="s">
        <v>0</v>
      </c>
      <c r="R177" s="17" t="s">
        <v>0</v>
      </c>
      <c r="S17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77" s="15" t="str">
        <f>IFERROR(PayGapsForMalesInRacialEthnicGroupsByOccupationalSeries[[#This Row],[Other Male Employees]]/U$318,"")</f>
        <v/>
      </c>
      <c r="U177" s="16" t="s">
        <v>0</v>
      </c>
      <c r="V177" s="17" t="s">
        <v>0</v>
      </c>
      <c r="W17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78" spans="1:23" ht="31.2" x14ac:dyDescent="0.3">
      <c r="A178" s="4" t="s">
        <v>187</v>
      </c>
      <c r="B178" s="25">
        <v>1023</v>
      </c>
      <c r="C178" s="26">
        <v>71766.154447702997</v>
      </c>
      <c r="D178" s="15">
        <f>IFERROR(PayGapsForMalesInRacialEthnicGroupsByOccupationalSeries[[#This Row],[AIAN Male Employees]]/E$318,"")</f>
        <v>2.443991853360489E-3</v>
      </c>
      <c r="E178" s="16">
        <v>24</v>
      </c>
      <c r="F178" s="17">
        <v>67827.916666667006</v>
      </c>
      <c r="G178" s="18">
        <f>PayGapsForMalesInRacialEthnicGroupsByOccupationalSeries[[#This Row],[AIAN Male Avg Salary]]/PayGapsForMalesInRacialEthnicGroupsByOccupationalSeries[[#This Row],[White Male Average Salary]]</f>
        <v>0.94512402383346539</v>
      </c>
      <c r="H178" s="15">
        <f>IFERROR(PayGapsForMalesInRacialEthnicGroupsByOccupationalSeries[[#This Row],[ANHPI Male Employees]]/I$318,"")</f>
        <v>3.2854893410852715E-3</v>
      </c>
      <c r="I178" s="16">
        <v>217</v>
      </c>
      <c r="J178" s="17">
        <v>70903.202764977003</v>
      </c>
      <c r="K178" s="18">
        <f>PayGapsForMalesInRacialEthnicGroupsByOccupationalSeries[[#This Row],[ANHPI Male Avg Salary]]/PayGapsForMalesInRacialEthnicGroupsByOccupationalSeries[[#This Row],[White Male Average Salary]]</f>
        <v>0.98797550615095531</v>
      </c>
      <c r="L178" s="15">
        <f>IFERROR(PayGapsForMalesInRacialEthnicGroupsByOccupationalSeries[[#This Row],[Black Male Employees]]/M$318,"")</f>
        <v>6.1192656881174255E-3</v>
      </c>
      <c r="M178" s="16">
        <v>765</v>
      </c>
      <c r="N178" s="17">
        <v>67029.871727749007</v>
      </c>
      <c r="O178" s="18">
        <f>IFERROR(PayGapsForMalesInRacialEthnicGroupsByOccupationalSeries[[#This Row],[Black Male Avg Salary]]/PayGapsForMalesInRacialEthnicGroupsByOccupationalSeries[[#This Row],[White Male Average Salary]],"")</f>
        <v>0.93400394996215963</v>
      </c>
      <c r="P178" s="15">
        <f>IFERROR(PayGapsForMalesInRacialEthnicGroupsByOccupationalSeries[[#This Row],[Hispanic Latino Male Employees]]/Q$318,"")</f>
        <v>2.7443765691227144E-3</v>
      </c>
      <c r="Q178" s="16">
        <v>270</v>
      </c>
      <c r="R178" s="17">
        <v>72281.681481481006</v>
      </c>
      <c r="S178" s="18">
        <f>IFERROR(PayGapsForMalesInRacialEthnicGroupsByOccupationalSeries[[#This Row],[Hispanic Latino Male Avg Salary]]/PayGapsForMalesInRacialEthnicGroupsByOccupationalSeries[[#This Row],[White Male Average Salary]],"")</f>
        <v>1.0071834284245185</v>
      </c>
      <c r="T178" s="15">
        <f>IFERROR(PayGapsForMalesInRacialEthnicGroupsByOccupationalSeries[[#This Row],[Other Male Employees]]/U$318,"")</f>
        <v>2.0125915987201982E-3</v>
      </c>
      <c r="U178" s="16">
        <v>39</v>
      </c>
      <c r="V178" s="17">
        <v>69943.794871795006</v>
      </c>
      <c r="W178" s="18">
        <f>IFERROR(PayGapsForMalesInRacialEthnicGroupsByOccupationalSeries[[#This Row],[Other Male Avg Salary]]/PayGapsForMalesInRacialEthnicGroupsByOccupationalSeries[[#This Row],[White Male Average Salary]],"")</f>
        <v>0.97460697748217828</v>
      </c>
    </row>
    <row r="179" spans="1:23" ht="15.6" x14ac:dyDescent="0.3">
      <c r="A179" s="4" t="s">
        <v>188</v>
      </c>
      <c r="B179" s="25">
        <v>15306</v>
      </c>
      <c r="C179" s="26">
        <v>158376.60354796299</v>
      </c>
      <c r="D179" s="15">
        <f>IFERROR(PayGapsForMalesInRacialEthnicGroupsByOccupationalSeries[[#This Row],[AIAN Male Employees]]/E$318,"")</f>
        <v>6.2118126272912421E-3</v>
      </c>
      <c r="E179" s="16">
        <v>61</v>
      </c>
      <c r="F179" s="17">
        <v>146380.950819672</v>
      </c>
      <c r="G179" s="18">
        <f>PayGapsForMalesInRacialEthnicGroupsByOccupationalSeries[[#This Row],[AIAN Male Avg Salary]]/PayGapsForMalesInRacialEthnicGroupsByOccupationalSeries[[#This Row],[White Male Average Salary]]</f>
        <v>0.92425868177771464</v>
      </c>
      <c r="H179" s="15">
        <f>IFERROR(PayGapsForMalesInRacialEthnicGroupsByOccupationalSeries[[#This Row],[ANHPI Male Employees]]/I$318,"")</f>
        <v>1.609435562015504E-2</v>
      </c>
      <c r="I179" s="16">
        <v>1063</v>
      </c>
      <c r="J179" s="17">
        <v>156243.80301602301</v>
      </c>
      <c r="K179" s="18">
        <f>PayGapsForMalesInRacialEthnicGroupsByOccupationalSeries[[#This Row],[ANHPI Male Avg Salary]]/PayGapsForMalesInRacialEthnicGroupsByOccupationalSeries[[#This Row],[White Male Average Salary]]</f>
        <v>0.98653336108894341</v>
      </c>
      <c r="L179" s="15">
        <f>IFERROR(PayGapsForMalesInRacialEthnicGroupsByOccupationalSeries[[#This Row],[Black Male Employees]]/M$318,"")</f>
        <v>7.5350957885053794E-3</v>
      </c>
      <c r="M179" s="16">
        <v>942</v>
      </c>
      <c r="N179" s="17">
        <v>153327.98183760699</v>
      </c>
      <c r="O179" s="18">
        <f>IFERROR(PayGapsForMalesInRacialEthnicGroupsByOccupationalSeries[[#This Row],[Black Male Avg Salary]]/PayGapsForMalesInRacialEthnicGroupsByOccupationalSeries[[#This Row],[White Male Average Salary]],"")</f>
        <v>0.96812267975662791</v>
      </c>
      <c r="P179" s="15">
        <f>IFERROR(PayGapsForMalesInRacialEthnicGroupsByOccupationalSeries[[#This Row],[Hispanic Latino Male Employees]]/Q$318,"")</f>
        <v>9.3512090503440632E-3</v>
      </c>
      <c r="Q179" s="16">
        <v>920</v>
      </c>
      <c r="R179" s="17">
        <v>152517.806345733</v>
      </c>
      <c r="S179" s="18">
        <f>IFERROR(PayGapsForMalesInRacialEthnicGroupsByOccupationalSeries[[#This Row],[Hispanic Latino Male Avg Salary]]/PayGapsForMalesInRacialEthnicGroupsByOccupationalSeries[[#This Row],[White Male Average Salary]],"")</f>
        <v>0.96300717990548579</v>
      </c>
      <c r="T179" s="15">
        <f>IFERROR(PayGapsForMalesInRacialEthnicGroupsByOccupationalSeries[[#This Row],[Other Male Employees]]/U$318,"")</f>
        <v>1.3726906801527505E-2</v>
      </c>
      <c r="U179" s="16">
        <v>266</v>
      </c>
      <c r="V179" s="17">
        <v>147808.785714286</v>
      </c>
      <c r="W179" s="18">
        <f>IFERROR(PayGapsForMalesInRacialEthnicGroupsByOccupationalSeries[[#This Row],[Other Male Avg Salary]]/PayGapsForMalesInRacialEthnicGroupsByOccupationalSeries[[#This Row],[White Male Average Salary]],"")</f>
        <v>0.93327412258543219</v>
      </c>
    </row>
    <row r="180" spans="1:23" ht="15.6" x14ac:dyDescent="0.3">
      <c r="A180" s="4" t="s">
        <v>189</v>
      </c>
      <c r="B180" s="25">
        <v>867</v>
      </c>
      <c r="C180" s="26">
        <v>119816.614763552</v>
      </c>
      <c r="D180" s="15" t="str">
        <f>IFERROR(PayGapsForMalesInRacialEthnicGroupsByOccupationalSeries[[#This Row],[AIAN Male Employees]]/E$318,"")</f>
        <v/>
      </c>
      <c r="E180" s="16" t="s">
        <v>0</v>
      </c>
      <c r="F180" s="17" t="s">
        <v>0</v>
      </c>
      <c r="G180" s="18" t="s">
        <v>0</v>
      </c>
      <c r="H180" s="15">
        <f>IFERROR(PayGapsForMalesInRacialEthnicGroupsByOccupationalSeries[[#This Row],[ANHPI Male Employees]]/I$318,"")</f>
        <v>1.4080668604651162E-3</v>
      </c>
      <c r="I180" s="16">
        <v>93</v>
      </c>
      <c r="J180" s="17">
        <v>118126.989247312</v>
      </c>
      <c r="K180" s="18">
        <f>PayGapsForMalesInRacialEthnicGroupsByOccupationalSeries[[#This Row],[ANHPI Male Avg Salary]]/PayGapsForMalesInRacialEthnicGroupsByOccupationalSeries[[#This Row],[White Male Average Salary]]</f>
        <v>0.985898236905004</v>
      </c>
      <c r="L180" s="15">
        <f>IFERROR(PayGapsForMalesInRacialEthnicGroupsByOccupationalSeries[[#This Row],[Black Male Employees]]/M$318,"")</f>
        <v>1.1438627364716233E-3</v>
      </c>
      <c r="M180" s="16">
        <v>143</v>
      </c>
      <c r="N180" s="17">
        <v>107425.615384615</v>
      </c>
      <c r="O180" s="18">
        <f>IFERROR(PayGapsForMalesInRacialEthnicGroupsByOccupationalSeries[[#This Row],[Black Male Avg Salary]]/PayGapsForMalesInRacialEthnicGroupsByOccupationalSeries[[#This Row],[White Male Average Salary]],"")</f>
        <v>0.89658362987979923</v>
      </c>
      <c r="P180" s="15">
        <f>IFERROR(PayGapsForMalesInRacialEthnicGroupsByOccupationalSeries[[#This Row],[Hispanic Latino Male Employees]]/Q$318,"")</f>
        <v>1.4738318611955317E-3</v>
      </c>
      <c r="Q180" s="16">
        <v>145</v>
      </c>
      <c r="R180" s="17">
        <v>104699.289655172</v>
      </c>
      <c r="S180" s="18">
        <f>IFERROR(PayGapsForMalesInRacialEthnicGroupsByOccupationalSeries[[#This Row],[Hispanic Latino Male Avg Salary]]/PayGapsForMalesInRacialEthnicGroupsByOccupationalSeries[[#This Row],[White Male Average Salary]],"")</f>
        <v>0.87382947566818869</v>
      </c>
      <c r="T180" s="15" t="str">
        <f>IFERROR(PayGapsForMalesInRacialEthnicGroupsByOccupationalSeries[[#This Row],[Other Male Employees]]/U$318,"")</f>
        <v/>
      </c>
      <c r="U180" s="16" t="s">
        <v>0</v>
      </c>
      <c r="V180" s="17" t="s">
        <v>0</v>
      </c>
      <c r="W18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81" spans="1:23" ht="15.6" x14ac:dyDescent="0.3">
      <c r="A181" s="4" t="s">
        <v>190</v>
      </c>
      <c r="B181" s="25">
        <v>758</v>
      </c>
      <c r="C181" s="26">
        <v>185781.457461646</v>
      </c>
      <c r="D181" s="15" t="str">
        <f>IFERROR(PayGapsForMalesInRacialEthnicGroupsByOccupationalSeries[[#This Row],[AIAN Male Employees]]/E$318,"")</f>
        <v/>
      </c>
      <c r="E181" s="16" t="s">
        <v>0</v>
      </c>
      <c r="F181" s="17" t="s">
        <v>0</v>
      </c>
      <c r="G181" s="18" t="s">
        <v>0</v>
      </c>
      <c r="H181" s="15" t="str">
        <f>IFERROR(PayGapsForMalesInRacialEthnicGroupsByOccupationalSeries[[#This Row],[ANHPI Male Employees]]/I$318,"")</f>
        <v/>
      </c>
      <c r="I181" s="16" t="s">
        <v>0</v>
      </c>
      <c r="J181" s="17" t="s">
        <v>0</v>
      </c>
      <c r="K181" s="18" t="s">
        <v>0</v>
      </c>
      <c r="L181" s="15">
        <f>IFERROR(PayGapsForMalesInRacialEthnicGroupsByOccupationalSeries[[#This Row],[Black Male Employees]]/M$318,"")</f>
        <v>3.2796064472263327E-4</v>
      </c>
      <c r="M181" s="16">
        <v>41</v>
      </c>
      <c r="N181" s="17">
        <v>186413.41025640999</v>
      </c>
      <c r="O181" s="18">
        <f>IFERROR(PayGapsForMalesInRacialEthnicGroupsByOccupationalSeries[[#This Row],[Black Male Avg Salary]]/PayGapsForMalesInRacialEthnicGroupsByOccupationalSeries[[#This Row],[White Male Average Salary]],"")</f>
        <v>1.003401592405391</v>
      </c>
      <c r="P181" s="15" t="str">
        <f>IFERROR(PayGapsForMalesInRacialEthnicGroupsByOccupationalSeries[[#This Row],[Hispanic Latino Male Employees]]/Q$318,"")</f>
        <v/>
      </c>
      <c r="Q181" s="16" t="s">
        <v>0</v>
      </c>
      <c r="R181" s="17" t="s">
        <v>0</v>
      </c>
      <c r="S18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81" s="15" t="str">
        <f>IFERROR(PayGapsForMalesInRacialEthnicGroupsByOccupationalSeries[[#This Row],[Other Male Employees]]/U$318,"")</f>
        <v/>
      </c>
      <c r="U181" s="16" t="s">
        <v>0</v>
      </c>
      <c r="V181" s="17" t="s">
        <v>0</v>
      </c>
      <c r="W18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82" spans="1:23" ht="15.6" x14ac:dyDescent="0.3">
      <c r="A182" s="4" t="s">
        <v>191</v>
      </c>
      <c r="B182" s="25">
        <v>681</v>
      </c>
      <c r="C182" s="26">
        <v>90577.493392069999</v>
      </c>
      <c r="D182" s="15" t="str">
        <f>IFERROR(PayGapsForMalesInRacialEthnicGroupsByOccupationalSeries[[#This Row],[AIAN Male Employees]]/E$318,"")</f>
        <v/>
      </c>
      <c r="E182" s="16" t="s">
        <v>0</v>
      </c>
      <c r="F182" s="17" t="s">
        <v>0</v>
      </c>
      <c r="G182" s="18" t="s">
        <v>0</v>
      </c>
      <c r="H182" s="15">
        <f>IFERROR(PayGapsForMalesInRacialEthnicGroupsByOccupationalSeries[[#This Row],[ANHPI Male Employees]]/I$318,"")</f>
        <v>9.6899224806201549E-4</v>
      </c>
      <c r="I182" s="16">
        <v>64</v>
      </c>
      <c r="J182" s="17">
        <v>94828.6875</v>
      </c>
      <c r="K182" s="18">
        <f>PayGapsForMalesInRacialEthnicGroupsByOccupationalSeries[[#This Row],[ANHPI Male Avg Salary]]/PayGapsForMalesInRacialEthnicGroupsByOccupationalSeries[[#This Row],[White Male Average Salary]]</f>
        <v>1.0469343315731696</v>
      </c>
      <c r="L182" s="15">
        <f>IFERROR(PayGapsForMalesInRacialEthnicGroupsByOccupationalSeries[[#This Row],[Black Male Employees]]/M$318,"")</f>
        <v>2.3357197136343638E-3</v>
      </c>
      <c r="M182" s="16">
        <v>292</v>
      </c>
      <c r="N182" s="17">
        <v>92850.842465752998</v>
      </c>
      <c r="O182" s="18">
        <f>IFERROR(PayGapsForMalesInRacialEthnicGroupsByOccupationalSeries[[#This Row],[Black Male Avg Salary]]/PayGapsForMalesInRacialEthnicGroupsByOccupationalSeries[[#This Row],[White Male Average Salary]],"")</f>
        <v>1.0250983880050939</v>
      </c>
      <c r="P182" s="15">
        <f>IFERROR(PayGapsForMalesInRacialEthnicGroupsByOccupationalSeries[[#This Row],[Hispanic Latino Male Employees]]/Q$318,"")</f>
        <v>1.2908734232540174E-3</v>
      </c>
      <c r="Q182" s="16">
        <v>127</v>
      </c>
      <c r="R182" s="17">
        <v>90722.330708661</v>
      </c>
      <c r="S182" s="18">
        <f>IFERROR(PayGapsForMalesInRacialEthnicGroupsByOccupationalSeries[[#This Row],[Hispanic Latino Male Avg Salary]]/PayGapsForMalesInRacialEthnicGroupsByOccupationalSeries[[#This Row],[White Male Average Salary]],"")</f>
        <v>1.0015990431084691</v>
      </c>
      <c r="T182" s="15">
        <f>IFERROR(PayGapsForMalesInRacialEthnicGroupsByOccupationalSeries[[#This Row],[Other Male Employees]]/U$318,"")</f>
        <v>1.3417277324801321E-3</v>
      </c>
      <c r="U182" s="16">
        <v>26</v>
      </c>
      <c r="V182" s="17">
        <v>90581.961538461997</v>
      </c>
      <c r="W182" s="18">
        <f>IFERROR(PayGapsForMalesInRacialEthnicGroupsByOccupationalSeries[[#This Row],[Other Male Avg Salary]]/PayGapsForMalesInRacialEthnicGroupsByOccupationalSeries[[#This Row],[White Male Average Salary]],"")</f>
        <v>1.0000493295434072</v>
      </c>
    </row>
    <row r="183" spans="1:23" ht="15.6" x14ac:dyDescent="0.3">
      <c r="A183" s="4" t="s">
        <v>192</v>
      </c>
      <c r="B183" s="25">
        <v>3438</v>
      </c>
      <c r="C183" s="26">
        <v>56545.858888565999</v>
      </c>
      <c r="D183" s="15">
        <f>IFERROR(PayGapsForMalesInRacialEthnicGroupsByOccupationalSeries[[#This Row],[AIAN Male Employees]]/E$318,"")</f>
        <v>8.0448065173116083E-3</v>
      </c>
      <c r="E183" s="16">
        <v>79</v>
      </c>
      <c r="F183" s="17">
        <v>55736.594936709</v>
      </c>
      <c r="G183" s="18">
        <f>PayGapsForMalesInRacialEthnicGroupsByOccupationalSeries[[#This Row],[AIAN Male Avg Salary]]/PayGapsForMalesInRacialEthnicGroupsByOccupationalSeries[[#This Row],[White Male Average Salary]]</f>
        <v>0.98568836042526464</v>
      </c>
      <c r="H183" s="15">
        <f>IFERROR(PayGapsForMalesInRacialEthnicGroupsByOccupationalSeries[[#This Row],[ANHPI Male Employees]]/I$318,"")</f>
        <v>4.9055232558139535E-3</v>
      </c>
      <c r="I183" s="16">
        <v>324</v>
      </c>
      <c r="J183" s="17">
        <v>57251.817901235001</v>
      </c>
      <c r="K183" s="18">
        <f>PayGapsForMalesInRacialEthnicGroupsByOccupationalSeries[[#This Row],[ANHPI Male Avg Salary]]/PayGapsForMalesInRacialEthnicGroupsByOccupationalSeries[[#This Row],[White Male Average Salary]]</f>
        <v>1.0124847164150468</v>
      </c>
      <c r="L183" s="15">
        <f>IFERROR(PayGapsForMalesInRacialEthnicGroupsByOccupationalSeries[[#This Row],[Black Male Employees]]/M$318,"")</f>
        <v>1.6741990961084668E-2</v>
      </c>
      <c r="M183" s="16">
        <v>2093</v>
      </c>
      <c r="N183" s="17">
        <v>56764.767797419998</v>
      </c>
      <c r="O183" s="18">
        <f>IFERROR(PayGapsForMalesInRacialEthnicGroupsByOccupationalSeries[[#This Row],[Black Male Avg Salary]]/PayGapsForMalesInRacialEthnicGroupsByOccupationalSeries[[#This Row],[White Male Average Salary]],"")</f>
        <v>1.0038713517339157</v>
      </c>
      <c r="P183" s="15">
        <f>IFERROR(PayGapsForMalesInRacialEthnicGroupsByOccupationalSeries[[#This Row],[Hispanic Latino Male Employees]]/Q$318,"")</f>
        <v>2.0725125275708203E-2</v>
      </c>
      <c r="Q183" s="16">
        <v>2039</v>
      </c>
      <c r="R183" s="17">
        <v>51698.381559588001</v>
      </c>
      <c r="S183" s="18">
        <f>IFERROR(PayGapsForMalesInRacialEthnicGroupsByOccupationalSeries[[#This Row],[Hispanic Latino Male Avg Salary]]/PayGapsForMalesInRacialEthnicGroupsByOccupationalSeries[[#This Row],[White Male Average Salary]],"")</f>
        <v>0.91427352198273537</v>
      </c>
      <c r="T183" s="15">
        <f>IFERROR(PayGapsForMalesInRacialEthnicGroupsByOccupationalSeries[[#This Row],[Other Male Employees]]/U$318,"")</f>
        <v>6.8118484879760551E-3</v>
      </c>
      <c r="U183" s="16">
        <v>132</v>
      </c>
      <c r="V183" s="17">
        <v>54678.515151514999</v>
      </c>
      <c r="W183" s="18">
        <f>IFERROR(PayGapsForMalesInRacialEthnicGroupsByOccupationalSeries[[#This Row],[Other Male Avg Salary]]/PayGapsForMalesInRacialEthnicGroupsByOccupationalSeries[[#This Row],[White Male Average Salary]],"")</f>
        <v>0.96697647230487838</v>
      </c>
    </row>
    <row r="184" spans="1:23" ht="15.6" x14ac:dyDescent="0.3">
      <c r="A184" s="4" t="s">
        <v>193</v>
      </c>
      <c r="B184" s="25">
        <v>448</v>
      </c>
      <c r="C184" s="26">
        <v>58648.508928570998</v>
      </c>
      <c r="D184" s="15" t="str">
        <f>IFERROR(PayGapsForMalesInRacialEthnicGroupsByOccupationalSeries[[#This Row],[AIAN Male Employees]]/E$318,"")</f>
        <v/>
      </c>
      <c r="E184" s="16" t="s">
        <v>0</v>
      </c>
      <c r="F184" s="17" t="s">
        <v>0</v>
      </c>
      <c r="G184" s="18" t="s">
        <v>0</v>
      </c>
      <c r="H184" s="15" t="str">
        <f>IFERROR(PayGapsForMalesInRacialEthnicGroupsByOccupationalSeries[[#This Row],[ANHPI Male Employees]]/I$318,"")</f>
        <v/>
      </c>
      <c r="I184" s="16" t="s">
        <v>0</v>
      </c>
      <c r="J184" s="17" t="s">
        <v>0</v>
      </c>
      <c r="K184" s="18" t="s">
        <v>0</v>
      </c>
      <c r="L184" s="15">
        <f>IFERROR(PayGapsForMalesInRacialEthnicGroupsByOccupationalSeries[[#This Row],[Black Male Employees]]/M$318,"")</f>
        <v>1.0398752149742032E-3</v>
      </c>
      <c r="M184" s="16">
        <v>130</v>
      </c>
      <c r="N184" s="17">
        <v>62484.076923077002</v>
      </c>
      <c r="O184" s="18">
        <f>IFERROR(PayGapsForMalesInRacialEthnicGroupsByOccupationalSeries[[#This Row],[Black Male Avg Salary]]/PayGapsForMalesInRacialEthnicGroupsByOccupationalSeries[[#This Row],[White Male Average Salary]],"")</f>
        <v>1.0653992414227855</v>
      </c>
      <c r="P184" s="15" t="str">
        <f>IFERROR(PayGapsForMalesInRacialEthnicGroupsByOccupationalSeries[[#This Row],[Hispanic Latino Male Employees]]/Q$318,"")</f>
        <v/>
      </c>
      <c r="Q184" s="16" t="s">
        <v>0</v>
      </c>
      <c r="R184" s="17" t="s">
        <v>0</v>
      </c>
      <c r="S18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84" s="15" t="str">
        <f>IFERROR(PayGapsForMalesInRacialEthnicGroupsByOccupationalSeries[[#This Row],[Other Male Employees]]/U$318,"")</f>
        <v/>
      </c>
      <c r="U184" s="16" t="s">
        <v>0</v>
      </c>
      <c r="V184" s="17" t="s">
        <v>0</v>
      </c>
      <c r="W18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85" spans="1:23" ht="15.6" x14ac:dyDescent="0.3">
      <c r="A185" s="4" t="s">
        <v>194</v>
      </c>
      <c r="B185" s="25">
        <v>43</v>
      </c>
      <c r="C185" s="26">
        <v>68595.674418605005</v>
      </c>
      <c r="D185" s="15" t="str">
        <f>IFERROR(PayGapsForMalesInRacialEthnicGroupsByOccupationalSeries[[#This Row],[AIAN Male Employees]]/E$318,"")</f>
        <v/>
      </c>
      <c r="E185" s="16" t="s">
        <v>0</v>
      </c>
      <c r="F185" s="17" t="s">
        <v>0</v>
      </c>
      <c r="G185" s="18" t="s">
        <v>0</v>
      </c>
      <c r="H185" s="15" t="str">
        <f>IFERROR(PayGapsForMalesInRacialEthnicGroupsByOccupationalSeries[[#This Row],[ANHPI Male Employees]]/I$318,"")</f>
        <v/>
      </c>
      <c r="I185" s="16" t="s">
        <v>0</v>
      </c>
      <c r="J185" s="17" t="s">
        <v>0</v>
      </c>
      <c r="K185" s="18" t="s">
        <v>0</v>
      </c>
      <c r="L185" s="15" t="str">
        <f>IFERROR(PayGapsForMalesInRacialEthnicGroupsByOccupationalSeries[[#This Row],[Black Male Employees]]/M$318,"")</f>
        <v/>
      </c>
      <c r="M185" s="16" t="s">
        <v>0</v>
      </c>
      <c r="N185" s="17" t="s">
        <v>0</v>
      </c>
      <c r="O185" s="18" t="str">
        <f>IFERROR(PayGapsForMalesInRacialEthnicGroupsByOccupationalSeries[[#This Row],[Black Male Avg Salary]]/PayGapsForMalesInRacialEthnicGroupsByOccupationalSeries[[#This Row],[White Male Average Salary]],"")</f>
        <v/>
      </c>
      <c r="P185" s="15" t="str">
        <f>IFERROR(PayGapsForMalesInRacialEthnicGroupsByOccupationalSeries[[#This Row],[Hispanic Latino Male Employees]]/Q$318,"")</f>
        <v/>
      </c>
      <c r="Q185" s="16" t="s">
        <v>0</v>
      </c>
      <c r="R185" s="17" t="s">
        <v>0</v>
      </c>
      <c r="S18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85" s="15" t="str">
        <f>IFERROR(PayGapsForMalesInRacialEthnicGroupsByOccupationalSeries[[#This Row],[Other Male Employees]]/U$318,"")</f>
        <v/>
      </c>
      <c r="U185" s="16" t="s">
        <v>0</v>
      </c>
      <c r="V185" s="17" t="s">
        <v>0</v>
      </c>
      <c r="W18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86" spans="1:23" ht="15.6" x14ac:dyDescent="0.3">
      <c r="A186" s="4" t="s">
        <v>195</v>
      </c>
      <c r="B186" s="25">
        <v>380</v>
      </c>
      <c r="C186" s="26">
        <v>85568.476315788997</v>
      </c>
      <c r="D186" s="15" t="str">
        <f>IFERROR(PayGapsForMalesInRacialEthnicGroupsByOccupationalSeries[[#This Row],[AIAN Male Employees]]/E$318,"")</f>
        <v/>
      </c>
      <c r="E186" s="16" t="s">
        <v>0</v>
      </c>
      <c r="F186" s="17" t="s">
        <v>0</v>
      </c>
      <c r="G186" s="18" t="s">
        <v>0</v>
      </c>
      <c r="H186" s="15">
        <f>IFERROR(PayGapsForMalesInRacialEthnicGroupsByOccupationalSeries[[#This Row],[ANHPI Male Employees]]/I$318,"")</f>
        <v>7.4188468992248064E-4</v>
      </c>
      <c r="I186" s="16">
        <v>49</v>
      </c>
      <c r="J186" s="17">
        <v>84473.122448979993</v>
      </c>
      <c r="K186" s="18">
        <f>PayGapsForMalesInRacialEthnicGroupsByOccupationalSeries[[#This Row],[ANHPI Male Avg Salary]]/PayGapsForMalesInRacialEthnicGroupsByOccupationalSeries[[#This Row],[White Male Average Salary]]</f>
        <v>0.98719909581226362</v>
      </c>
      <c r="L186" s="15">
        <f>IFERROR(PayGapsForMalesInRacialEthnicGroupsByOccupationalSeries[[#This Row],[Black Male Employees]]/M$318,"")</f>
        <v>1.0558732952045756E-3</v>
      </c>
      <c r="M186" s="16">
        <v>132</v>
      </c>
      <c r="N186" s="17">
        <v>77797.469696970002</v>
      </c>
      <c r="O186" s="18">
        <f>IFERROR(PayGapsForMalesInRacialEthnicGroupsByOccupationalSeries[[#This Row],[Black Male Avg Salary]]/PayGapsForMalesInRacialEthnicGroupsByOccupationalSeries[[#This Row],[White Male Average Salary]],"")</f>
        <v>0.90918376774479159</v>
      </c>
      <c r="P186" s="15">
        <f>IFERROR(PayGapsForMalesInRacialEthnicGroupsByOccupationalSeries[[#This Row],[Hispanic Latino Male Employees]]/Q$318,"")</f>
        <v>8.9446347438073648E-4</v>
      </c>
      <c r="Q186" s="16">
        <v>88</v>
      </c>
      <c r="R186" s="17">
        <v>80891.068181818002</v>
      </c>
      <c r="S186" s="18">
        <f>IFERROR(PayGapsForMalesInRacialEthnicGroupsByOccupationalSeries[[#This Row],[Hispanic Latino Male Avg Salary]]/PayGapsForMalesInRacialEthnicGroupsByOccupationalSeries[[#This Row],[White Male Average Salary]],"")</f>
        <v>0.94533725110741595</v>
      </c>
      <c r="T186" s="15" t="str">
        <f>IFERROR(PayGapsForMalesInRacialEthnicGroupsByOccupationalSeries[[#This Row],[Other Male Employees]]/U$318,"")</f>
        <v/>
      </c>
      <c r="U186" s="16" t="s">
        <v>0</v>
      </c>
      <c r="V186" s="17" t="s">
        <v>0</v>
      </c>
      <c r="W18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87" spans="1:23" ht="15.6" x14ac:dyDescent="0.3">
      <c r="A187" s="4" t="s">
        <v>196</v>
      </c>
      <c r="B187" s="25">
        <v>417</v>
      </c>
      <c r="C187" s="26">
        <v>57113.700239808</v>
      </c>
      <c r="D187" s="15" t="str">
        <f>IFERROR(PayGapsForMalesInRacialEthnicGroupsByOccupationalSeries[[#This Row],[AIAN Male Employees]]/E$318,"")</f>
        <v/>
      </c>
      <c r="E187" s="16" t="s">
        <v>0</v>
      </c>
      <c r="F187" s="17" t="s">
        <v>0</v>
      </c>
      <c r="G187" s="18" t="s">
        <v>0</v>
      </c>
      <c r="H187" s="15">
        <f>IFERROR(PayGapsForMalesInRacialEthnicGroupsByOccupationalSeries[[#This Row],[ANHPI Male Employees]]/I$318,"")</f>
        <v>1.0295542635658916E-3</v>
      </c>
      <c r="I187" s="16">
        <v>68</v>
      </c>
      <c r="J187" s="17">
        <v>58875.602941176003</v>
      </c>
      <c r="K187" s="18">
        <f>PayGapsForMalesInRacialEthnicGroupsByOccupationalSeries[[#This Row],[ANHPI Male Avg Salary]]/PayGapsForMalesInRacialEthnicGroupsByOccupationalSeries[[#This Row],[White Male Average Salary]]</f>
        <v>1.0308490378660489</v>
      </c>
      <c r="L187" s="15">
        <f>IFERROR(PayGapsForMalesInRacialEthnicGroupsByOccupationalSeries[[#This Row],[Black Male Employees]]/M$318,"")</f>
        <v>2.2717273927128747E-3</v>
      </c>
      <c r="M187" s="16">
        <v>284</v>
      </c>
      <c r="N187" s="17">
        <v>60404.130281689999</v>
      </c>
      <c r="O187" s="18">
        <f>IFERROR(PayGapsForMalesInRacialEthnicGroupsByOccupationalSeries[[#This Row],[Black Male Avg Salary]]/PayGapsForMalesInRacialEthnicGroupsByOccupationalSeries[[#This Row],[White Male Average Salary]],"")</f>
        <v>1.0576119219743458</v>
      </c>
      <c r="P187" s="15">
        <f>IFERROR(PayGapsForMalesInRacialEthnicGroupsByOccupationalSeries[[#This Row],[Hispanic Latino Male Employees]]/Q$318,"")</f>
        <v>1.4941605765223668E-3</v>
      </c>
      <c r="Q187" s="16">
        <v>147</v>
      </c>
      <c r="R187" s="17">
        <v>57060.891156463003</v>
      </c>
      <c r="S187" s="18">
        <f>IFERROR(PayGapsForMalesInRacialEthnicGroupsByOccupationalSeries[[#This Row],[Hispanic Latino Male Avg Salary]]/PayGapsForMalesInRacialEthnicGroupsByOccupationalSeries[[#This Row],[White Male Average Salary]],"")</f>
        <v>0.99907536925250395</v>
      </c>
      <c r="T187" s="15">
        <f>IFERROR(PayGapsForMalesInRacialEthnicGroupsByOccupationalSeries[[#This Row],[Other Male Employees]]/U$318,"")</f>
        <v>1.1353080813293426E-3</v>
      </c>
      <c r="U187" s="16">
        <v>22</v>
      </c>
      <c r="V187" s="17">
        <v>54428.227272727003</v>
      </c>
      <c r="W187" s="18">
        <f>IFERROR(PayGapsForMalesInRacialEthnicGroupsByOccupationalSeries[[#This Row],[Other Male Avg Salary]]/PayGapsForMalesInRacialEthnicGroupsByOccupationalSeries[[#This Row],[White Male Average Salary]],"")</f>
        <v>0.95298023143649802</v>
      </c>
    </row>
    <row r="188" spans="1:23" ht="15.6" x14ac:dyDescent="0.3">
      <c r="A188" s="4" t="s">
        <v>197</v>
      </c>
      <c r="B188" s="25">
        <v>126</v>
      </c>
      <c r="C188" s="26">
        <v>135175.18253968301</v>
      </c>
      <c r="D188" s="15" t="str">
        <f>IFERROR(PayGapsForMalesInRacialEthnicGroupsByOccupationalSeries[[#This Row],[AIAN Male Employees]]/E$318,"")</f>
        <v/>
      </c>
      <c r="E188" s="16" t="s">
        <v>0</v>
      </c>
      <c r="F188" s="17" t="s">
        <v>0</v>
      </c>
      <c r="G188" s="18" t="s">
        <v>0</v>
      </c>
      <c r="H188" s="15" t="str">
        <f>IFERROR(PayGapsForMalesInRacialEthnicGroupsByOccupationalSeries[[#This Row],[ANHPI Male Employees]]/I$318,"")</f>
        <v/>
      </c>
      <c r="I188" s="16" t="s">
        <v>0</v>
      </c>
      <c r="J188" s="17" t="s">
        <v>0</v>
      </c>
      <c r="K188" s="18" t="s">
        <v>0</v>
      </c>
      <c r="L188" s="15" t="str">
        <f>IFERROR(PayGapsForMalesInRacialEthnicGroupsByOccupationalSeries[[#This Row],[Black Male Employees]]/M$318,"")</f>
        <v/>
      </c>
      <c r="M188" s="16" t="s">
        <v>0</v>
      </c>
      <c r="N188" s="17" t="s">
        <v>0</v>
      </c>
      <c r="O188" s="18" t="str">
        <f>IFERROR(PayGapsForMalesInRacialEthnicGroupsByOccupationalSeries[[#This Row],[Black Male Avg Salary]]/PayGapsForMalesInRacialEthnicGroupsByOccupationalSeries[[#This Row],[White Male Average Salary]],"")</f>
        <v/>
      </c>
      <c r="P188" s="15" t="str">
        <f>IFERROR(PayGapsForMalesInRacialEthnicGroupsByOccupationalSeries[[#This Row],[Hispanic Latino Male Employees]]/Q$318,"")</f>
        <v/>
      </c>
      <c r="Q188" s="16" t="s">
        <v>0</v>
      </c>
      <c r="R188" s="17" t="s">
        <v>0</v>
      </c>
      <c r="S18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88" s="15" t="str">
        <f>IFERROR(PayGapsForMalesInRacialEthnicGroupsByOccupationalSeries[[#This Row],[Other Male Employees]]/U$318,"")</f>
        <v/>
      </c>
      <c r="U188" s="16" t="s">
        <v>0</v>
      </c>
      <c r="V188" s="17" t="s">
        <v>0</v>
      </c>
      <c r="W18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89" spans="1:23" ht="31.2" x14ac:dyDescent="0.3">
      <c r="A189" s="4" t="s">
        <v>198</v>
      </c>
      <c r="B189" s="25">
        <v>278</v>
      </c>
      <c r="C189" s="26">
        <v>101248.67266187099</v>
      </c>
      <c r="D189" s="15" t="str">
        <f>IFERROR(PayGapsForMalesInRacialEthnicGroupsByOccupationalSeries[[#This Row],[AIAN Male Employees]]/E$318,"")</f>
        <v/>
      </c>
      <c r="E189" s="16" t="s">
        <v>0</v>
      </c>
      <c r="F189" s="17" t="s">
        <v>0</v>
      </c>
      <c r="G189" s="18" t="s">
        <v>0</v>
      </c>
      <c r="H189" s="15" t="str">
        <f>IFERROR(PayGapsForMalesInRacialEthnicGroupsByOccupationalSeries[[#This Row],[ANHPI Male Employees]]/I$318,"")</f>
        <v/>
      </c>
      <c r="I189" s="16" t="s">
        <v>0</v>
      </c>
      <c r="J189" s="17" t="s">
        <v>0</v>
      </c>
      <c r="K189" s="18" t="s">
        <v>0</v>
      </c>
      <c r="L189" s="15">
        <f>IFERROR(PayGapsForMalesInRacialEthnicGroupsByOccupationalSeries[[#This Row],[Black Male Employees]]/M$318,"")</f>
        <v>6.8791744990601123E-4</v>
      </c>
      <c r="M189" s="16">
        <v>86</v>
      </c>
      <c r="N189" s="17">
        <v>90956.104651162997</v>
      </c>
      <c r="O189" s="18">
        <f>IFERROR(PayGapsForMalesInRacialEthnicGroupsByOccupationalSeries[[#This Row],[Black Male Avg Salary]]/PayGapsForMalesInRacialEthnicGroupsByOccupationalSeries[[#This Row],[White Male Average Salary]],"")</f>
        <v>0.89834367463679299</v>
      </c>
      <c r="P189" s="15">
        <f>IFERROR(PayGapsForMalesInRacialEthnicGroupsByOccupationalSeries[[#This Row],[Hispanic Latino Male Employees]]/Q$318,"")</f>
        <v>4.370673795269508E-4</v>
      </c>
      <c r="Q189" s="16">
        <v>43</v>
      </c>
      <c r="R189" s="17">
        <v>100238.976744186</v>
      </c>
      <c r="S189" s="18">
        <f>IFERROR(PayGapsForMalesInRacialEthnicGroupsByOccupationalSeries[[#This Row],[Hispanic Latino Male Avg Salary]]/PayGapsForMalesInRacialEthnicGroupsByOccupationalSeries[[#This Row],[White Male Average Salary]],"")</f>
        <v>0.9900275639063737</v>
      </c>
      <c r="T189" s="15" t="str">
        <f>IFERROR(PayGapsForMalesInRacialEthnicGroupsByOccupationalSeries[[#This Row],[Other Male Employees]]/U$318,"")</f>
        <v/>
      </c>
      <c r="U189" s="16" t="s">
        <v>0</v>
      </c>
      <c r="V189" s="17" t="s">
        <v>0</v>
      </c>
      <c r="W18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90" spans="1:23" ht="31.2" x14ac:dyDescent="0.3">
      <c r="A190" s="4" t="s">
        <v>199</v>
      </c>
      <c r="B190" s="25">
        <v>63</v>
      </c>
      <c r="C190" s="26">
        <v>79905.761904761996</v>
      </c>
      <c r="D190" s="15" t="str">
        <f>IFERROR(PayGapsForMalesInRacialEthnicGroupsByOccupationalSeries[[#This Row],[AIAN Male Employees]]/E$318,"")</f>
        <v/>
      </c>
      <c r="E190" s="16" t="s">
        <v>0</v>
      </c>
      <c r="F190" s="17" t="s">
        <v>0</v>
      </c>
      <c r="G190" s="18" t="s">
        <v>0</v>
      </c>
      <c r="H190" s="15" t="str">
        <f>IFERROR(PayGapsForMalesInRacialEthnicGroupsByOccupationalSeries[[#This Row],[ANHPI Male Employees]]/I$318,"")</f>
        <v/>
      </c>
      <c r="I190" s="16" t="s">
        <v>0</v>
      </c>
      <c r="J190" s="17" t="s">
        <v>0</v>
      </c>
      <c r="K190" s="18" t="s">
        <v>0</v>
      </c>
      <c r="L190" s="15">
        <f>IFERROR(PayGapsForMalesInRacialEthnicGroupsByOccupationalSeries[[#This Row],[Black Male Employees]]/M$318,"")</f>
        <v>2.9596448426188858E-4</v>
      </c>
      <c r="M190" s="16">
        <v>37</v>
      </c>
      <c r="N190" s="17">
        <v>78000.648648649003</v>
      </c>
      <c r="O190" s="18">
        <f>IFERROR(PayGapsForMalesInRacialEthnicGroupsByOccupationalSeries[[#This Row],[Black Male Avg Salary]]/PayGapsForMalesInRacialEthnicGroupsByOccupationalSeries[[#This Row],[White Male Average Salary]],"")</f>
        <v>0.97615799898906341</v>
      </c>
      <c r="P190" s="15" t="str">
        <f>IFERROR(PayGapsForMalesInRacialEthnicGroupsByOccupationalSeries[[#This Row],[Hispanic Latino Male Employees]]/Q$318,"")</f>
        <v/>
      </c>
      <c r="Q190" s="16" t="s">
        <v>0</v>
      </c>
      <c r="R190" s="17" t="s">
        <v>0</v>
      </c>
      <c r="S19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90" s="15" t="str">
        <f>IFERROR(PayGapsForMalesInRacialEthnicGroupsByOccupationalSeries[[#This Row],[Other Male Employees]]/U$318,"")</f>
        <v/>
      </c>
      <c r="U190" s="16" t="s">
        <v>0</v>
      </c>
      <c r="V190" s="17" t="s">
        <v>0</v>
      </c>
      <c r="W19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91" spans="1:23" ht="15.6" x14ac:dyDescent="0.3">
      <c r="A191" s="4" t="s">
        <v>200</v>
      </c>
      <c r="B191" s="25">
        <v>4502</v>
      </c>
      <c r="C191" s="26">
        <v>80531.105801288999</v>
      </c>
      <c r="D191" s="15">
        <f>IFERROR(PayGapsForMalesInRacialEthnicGroupsByOccupationalSeries[[#This Row],[AIAN Male Employees]]/E$318,"")</f>
        <v>1.405295315682281E-2</v>
      </c>
      <c r="E191" s="16">
        <v>138</v>
      </c>
      <c r="F191" s="17">
        <v>74129.992753622995</v>
      </c>
      <c r="G191" s="18">
        <f>PayGapsForMalesInRacialEthnicGroupsByOccupationalSeries[[#This Row],[AIAN Male Avg Salary]]/PayGapsForMalesInRacialEthnicGroupsByOccupationalSeries[[#This Row],[White Male Average Salary]]</f>
        <v>0.92051378179928645</v>
      </c>
      <c r="H191" s="15">
        <f>IFERROR(PayGapsForMalesInRacialEthnicGroupsByOccupationalSeries[[#This Row],[ANHPI Male Employees]]/I$318,"")</f>
        <v>5.5414244186046515E-3</v>
      </c>
      <c r="I191" s="16">
        <v>366</v>
      </c>
      <c r="J191" s="17">
        <v>79084.868852458996</v>
      </c>
      <c r="K191" s="18">
        <f>PayGapsForMalesInRacialEthnicGroupsByOccupationalSeries[[#This Row],[ANHPI Male Avg Salary]]/PayGapsForMalesInRacialEthnicGroupsByOccupationalSeries[[#This Row],[White Male Average Salary]]</f>
        <v>0.98204126300713412</v>
      </c>
      <c r="L191" s="15">
        <f>IFERROR(PayGapsForMalesInRacialEthnicGroupsByOccupationalSeries[[#This Row],[Black Male Employees]]/M$318,"")</f>
        <v>1.4126304843418789E-2</v>
      </c>
      <c r="M191" s="16">
        <v>1766</v>
      </c>
      <c r="N191" s="17">
        <v>75863.417563739</v>
      </c>
      <c r="O191" s="18">
        <f>IFERROR(PayGapsForMalesInRacialEthnicGroupsByOccupationalSeries[[#This Row],[Black Male Avg Salary]]/PayGapsForMalesInRacialEthnicGroupsByOccupationalSeries[[#This Row],[White Male Average Salary]],"")</f>
        <v>0.94203869186811429</v>
      </c>
      <c r="P191" s="15">
        <f>IFERROR(PayGapsForMalesInRacialEthnicGroupsByOccupationalSeries[[#This Row],[Hispanic Latino Male Employees]]/Q$318,"")</f>
        <v>5.8445056564650393E-3</v>
      </c>
      <c r="Q191" s="16">
        <v>575</v>
      </c>
      <c r="R191" s="17">
        <v>79319.790209789993</v>
      </c>
      <c r="S191" s="18">
        <f>IFERROR(PayGapsForMalesInRacialEthnicGroupsByOccupationalSeries[[#This Row],[Hispanic Latino Male Avg Salary]]/PayGapsForMalesInRacialEthnicGroupsByOccupationalSeries[[#This Row],[White Male Average Salary]],"")</f>
        <v>0.98495841352920277</v>
      </c>
      <c r="T191" s="15">
        <f>IFERROR(PayGapsForMalesInRacialEthnicGroupsByOccupationalSeries[[#This Row],[Other Male Employees]]/U$318,"")</f>
        <v>9.0824646506347407E-3</v>
      </c>
      <c r="U191" s="16">
        <v>176</v>
      </c>
      <c r="V191" s="17">
        <v>78170.834285713994</v>
      </c>
      <c r="W191" s="18">
        <f>IFERROR(PayGapsForMalesInRacialEthnicGroupsByOccupationalSeries[[#This Row],[Other Male Avg Salary]]/PayGapsForMalesInRacialEthnicGroupsByOccupationalSeries[[#This Row],[White Male Average Salary]],"")</f>
        <v>0.97069118209553718</v>
      </c>
    </row>
    <row r="192" spans="1:23" ht="31.2" x14ac:dyDescent="0.3">
      <c r="A192" s="4" t="s">
        <v>201</v>
      </c>
      <c r="B192" s="25">
        <v>175</v>
      </c>
      <c r="C192" s="26">
        <v>53029.126436781997</v>
      </c>
      <c r="D192" s="15" t="str">
        <f>IFERROR(PayGapsForMalesInRacialEthnicGroupsByOccupationalSeries[[#This Row],[AIAN Male Employees]]/E$318,"")</f>
        <v/>
      </c>
      <c r="E192" s="16" t="s">
        <v>0</v>
      </c>
      <c r="F192" s="17" t="s">
        <v>0</v>
      </c>
      <c r="G192" s="18" t="s">
        <v>0</v>
      </c>
      <c r="H192" s="15" t="str">
        <f>IFERROR(PayGapsForMalesInRacialEthnicGroupsByOccupationalSeries[[#This Row],[ANHPI Male Employees]]/I$318,"")</f>
        <v/>
      </c>
      <c r="I192" s="16" t="s">
        <v>0</v>
      </c>
      <c r="J192" s="17" t="s">
        <v>0</v>
      </c>
      <c r="K192" s="18" t="s">
        <v>0</v>
      </c>
      <c r="L192" s="15">
        <f>IFERROR(PayGapsForMalesInRacialEthnicGroupsByOccupationalSeries[[#This Row],[Black Male Employees]]/M$318,"")</f>
        <v>1.6797984241890974E-3</v>
      </c>
      <c r="M192" s="16">
        <v>210</v>
      </c>
      <c r="N192" s="17">
        <v>54727.157894737</v>
      </c>
      <c r="O192" s="18">
        <f>IFERROR(PayGapsForMalesInRacialEthnicGroupsByOccupationalSeries[[#This Row],[Black Male Avg Salary]]/PayGapsForMalesInRacialEthnicGroupsByOccupationalSeries[[#This Row],[White Male Average Salary]],"")</f>
        <v>1.0320207322287176</v>
      </c>
      <c r="P192" s="15" t="str">
        <f>IFERROR(PayGapsForMalesInRacialEthnicGroupsByOccupationalSeries[[#This Row],[Hispanic Latino Male Employees]]/Q$318,"")</f>
        <v/>
      </c>
      <c r="Q192" s="16" t="s">
        <v>0</v>
      </c>
      <c r="R192" s="17" t="s">
        <v>0</v>
      </c>
      <c r="S19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92" s="15" t="str">
        <f>IFERROR(PayGapsForMalesInRacialEthnicGroupsByOccupationalSeries[[#This Row],[Other Male Employees]]/U$318,"")</f>
        <v/>
      </c>
      <c r="U192" s="16" t="s">
        <v>0</v>
      </c>
      <c r="V192" s="17" t="s">
        <v>0</v>
      </c>
      <c r="W19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93" spans="1:23" ht="15.6" x14ac:dyDescent="0.3">
      <c r="A193" s="4" t="s">
        <v>202</v>
      </c>
      <c r="B193" s="25">
        <v>897</v>
      </c>
      <c r="C193" s="26">
        <v>111297.988839286</v>
      </c>
      <c r="D193" s="15" t="str">
        <f>IFERROR(PayGapsForMalesInRacialEthnicGroupsByOccupationalSeries[[#This Row],[AIAN Male Employees]]/E$318,"")</f>
        <v/>
      </c>
      <c r="E193" s="16" t="s">
        <v>0</v>
      </c>
      <c r="F193" s="17" t="s">
        <v>0</v>
      </c>
      <c r="G193" s="18" t="s">
        <v>0</v>
      </c>
      <c r="H193" s="15">
        <f>IFERROR(PayGapsForMalesInRacialEthnicGroupsByOccupationalSeries[[#This Row],[ANHPI Male Employees]]/I$318,"")</f>
        <v>2.4527616279069768E-3</v>
      </c>
      <c r="I193" s="16">
        <v>162</v>
      </c>
      <c r="J193" s="17">
        <v>113341.796296296</v>
      </c>
      <c r="K193" s="18">
        <f>PayGapsForMalesInRacialEthnicGroupsByOccupationalSeries[[#This Row],[ANHPI Male Avg Salary]]/PayGapsForMalesInRacialEthnicGroupsByOccupationalSeries[[#This Row],[White Male Average Salary]]</f>
        <v>1.0183633817495235</v>
      </c>
      <c r="L193" s="15">
        <f>IFERROR(PayGapsForMalesInRacialEthnicGroupsByOccupationalSeries[[#This Row],[Black Male Employees]]/M$318,"")</f>
        <v>1.7357917049954006E-3</v>
      </c>
      <c r="M193" s="16">
        <v>217</v>
      </c>
      <c r="N193" s="17">
        <v>105626.25345622101</v>
      </c>
      <c r="O193" s="18">
        <f>IFERROR(PayGapsForMalesInRacialEthnicGroupsByOccupationalSeries[[#This Row],[Black Male Avg Salary]]/PayGapsForMalesInRacialEthnicGroupsByOccupationalSeries[[#This Row],[White Male Average Salary]],"")</f>
        <v>0.94904009100061126</v>
      </c>
      <c r="P193" s="15">
        <f>IFERROR(PayGapsForMalesInRacialEthnicGroupsByOccupationalSeries[[#This Row],[Hispanic Latino Male Employees]]/Q$318,"")</f>
        <v>1.1079149853125032E-3</v>
      </c>
      <c r="Q193" s="16">
        <v>109</v>
      </c>
      <c r="R193" s="17">
        <v>95928.146788990998</v>
      </c>
      <c r="S193" s="18">
        <f>IFERROR(PayGapsForMalesInRacialEthnicGroupsByOccupationalSeries[[#This Row],[Hispanic Latino Male Avg Salary]]/PayGapsForMalesInRacialEthnicGroupsByOccupationalSeries[[#This Row],[White Male Average Salary]],"")</f>
        <v>0.86190368567675546</v>
      </c>
      <c r="T193" s="15" t="str">
        <f>IFERROR(PayGapsForMalesInRacialEthnicGroupsByOccupationalSeries[[#This Row],[Other Male Employees]]/U$318,"")</f>
        <v/>
      </c>
      <c r="U193" s="16" t="s">
        <v>0</v>
      </c>
      <c r="V193" s="17" t="s">
        <v>0</v>
      </c>
      <c r="W19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94" spans="1:23" ht="15.6" x14ac:dyDescent="0.3">
      <c r="A194" s="4" t="s">
        <v>203</v>
      </c>
      <c r="B194" s="25">
        <v>32</v>
      </c>
      <c r="C194" s="26">
        <v>95790.09375</v>
      </c>
      <c r="D194" s="15" t="str">
        <f>IFERROR(PayGapsForMalesInRacialEthnicGroupsByOccupationalSeries[[#This Row],[AIAN Male Employees]]/E$318,"")</f>
        <v/>
      </c>
      <c r="E194" s="16" t="s">
        <v>0</v>
      </c>
      <c r="F194" s="17" t="s">
        <v>0</v>
      </c>
      <c r="G194" s="18" t="s">
        <v>0</v>
      </c>
      <c r="H194" s="15" t="str">
        <f>IFERROR(PayGapsForMalesInRacialEthnicGroupsByOccupationalSeries[[#This Row],[ANHPI Male Employees]]/I$318,"")</f>
        <v/>
      </c>
      <c r="I194" s="16" t="s">
        <v>0</v>
      </c>
      <c r="J194" s="17" t="s">
        <v>0</v>
      </c>
      <c r="K194" s="18" t="s">
        <v>0</v>
      </c>
      <c r="L194" s="15" t="str">
        <f>IFERROR(PayGapsForMalesInRacialEthnicGroupsByOccupationalSeries[[#This Row],[Black Male Employees]]/M$318,"")</f>
        <v/>
      </c>
      <c r="M194" s="16" t="s">
        <v>0</v>
      </c>
      <c r="N194" s="17" t="s">
        <v>0</v>
      </c>
      <c r="O194" s="18" t="str">
        <f>IFERROR(PayGapsForMalesInRacialEthnicGroupsByOccupationalSeries[[#This Row],[Black Male Avg Salary]]/PayGapsForMalesInRacialEthnicGroupsByOccupationalSeries[[#This Row],[White Male Average Salary]],"")</f>
        <v/>
      </c>
      <c r="P194" s="15" t="str">
        <f>IFERROR(PayGapsForMalesInRacialEthnicGroupsByOccupationalSeries[[#This Row],[Hispanic Latino Male Employees]]/Q$318,"")</f>
        <v/>
      </c>
      <c r="Q194" s="16" t="s">
        <v>0</v>
      </c>
      <c r="R194" s="17" t="s">
        <v>0</v>
      </c>
      <c r="S19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94" s="15" t="str">
        <f>IFERROR(PayGapsForMalesInRacialEthnicGroupsByOccupationalSeries[[#This Row],[Other Male Employees]]/U$318,"")</f>
        <v/>
      </c>
      <c r="U194" s="16" t="s">
        <v>0</v>
      </c>
      <c r="V194" s="17" t="s">
        <v>0</v>
      </c>
      <c r="W19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95" spans="1:23" ht="15.6" x14ac:dyDescent="0.3">
      <c r="A195" s="4" t="s">
        <v>204</v>
      </c>
      <c r="B195" s="25">
        <v>185</v>
      </c>
      <c r="C195" s="26">
        <v>90444.594594594993</v>
      </c>
      <c r="D195" s="15" t="str">
        <f>IFERROR(PayGapsForMalesInRacialEthnicGroupsByOccupationalSeries[[#This Row],[AIAN Male Employees]]/E$318,"")</f>
        <v/>
      </c>
      <c r="E195" s="16" t="s">
        <v>0</v>
      </c>
      <c r="F195" s="17" t="s">
        <v>0</v>
      </c>
      <c r="G195" s="18" t="s">
        <v>0</v>
      </c>
      <c r="H195" s="15" t="str">
        <f>IFERROR(PayGapsForMalesInRacialEthnicGroupsByOccupationalSeries[[#This Row],[ANHPI Male Employees]]/I$318,"")</f>
        <v/>
      </c>
      <c r="I195" s="16" t="s">
        <v>0</v>
      </c>
      <c r="J195" s="17" t="s">
        <v>0</v>
      </c>
      <c r="K195" s="18" t="s">
        <v>0</v>
      </c>
      <c r="L195" s="15" t="str">
        <f>IFERROR(PayGapsForMalesInRacialEthnicGroupsByOccupationalSeries[[#This Row],[Black Male Employees]]/M$318,"")</f>
        <v/>
      </c>
      <c r="M195" s="16" t="s">
        <v>0</v>
      </c>
      <c r="N195" s="17" t="s">
        <v>0</v>
      </c>
      <c r="O195" s="18" t="str">
        <f>IFERROR(PayGapsForMalesInRacialEthnicGroupsByOccupationalSeries[[#This Row],[Black Male Avg Salary]]/PayGapsForMalesInRacialEthnicGroupsByOccupationalSeries[[#This Row],[White Male Average Salary]],"")</f>
        <v/>
      </c>
      <c r="P195" s="15" t="str">
        <f>IFERROR(PayGapsForMalesInRacialEthnicGroupsByOccupationalSeries[[#This Row],[Hispanic Latino Male Employees]]/Q$318,"")</f>
        <v/>
      </c>
      <c r="Q195" s="16" t="s">
        <v>0</v>
      </c>
      <c r="R195" s="17" t="s">
        <v>0</v>
      </c>
      <c r="S19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95" s="15" t="str">
        <f>IFERROR(PayGapsForMalesInRacialEthnicGroupsByOccupationalSeries[[#This Row],[Other Male Employees]]/U$318,"")</f>
        <v/>
      </c>
      <c r="U195" s="16" t="s">
        <v>0</v>
      </c>
      <c r="V195" s="17" t="s">
        <v>0</v>
      </c>
      <c r="W19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96" spans="1:23" ht="15.6" x14ac:dyDescent="0.3">
      <c r="A196" s="4" t="s">
        <v>205</v>
      </c>
      <c r="B196" s="25">
        <v>198</v>
      </c>
      <c r="C196" s="26">
        <v>109489.454545455</v>
      </c>
      <c r="D196" s="15" t="str">
        <f>IFERROR(PayGapsForMalesInRacialEthnicGroupsByOccupationalSeries[[#This Row],[AIAN Male Employees]]/E$318,"")</f>
        <v/>
      </c>
      <c r="E196" s="16" t="s">
        <v>0</v>
      </c>
      <c r="F196" s="17" t="s">
        <v>0</v>
      </c>
      <c r="G196" s="18" t="s">
        <v>0</v>
      </c>
      <c r="H196" s="15" t="str">
        <f>IFERROR(PayGapsForMalesInRacialEthnicGroupsByOccupationalSeries[[#This Row],[ANHPI Male Employees]]/I$318,"")</f>
        <v/>
      </c>
      <c r="I196" s="16" t="s">
        <v>0</v>
      </c>
      <c r="J196" s="17" t="s">
        <v>0</v>
      </c>
      <c r="K196" s="18" t="s">
        <v>0</v>
      </c>
      <c r="L196" s="15" t="str">
        <f>IFERROR(PayGapsForMalesInRacialEthnicGroupsByOccupationalSeries[[#This Row],[Black Male Employees]]/M$318,"")</f>
        <v/>
      </c>
      <c r="M196" s="16" t="s">
        <v>0</v>
      </c>
      <c r="N196" s="17" t="s">
        <v>0</v>
      </c>
      <c r="O196" s="18" t="str">
        <f>IFERROR(PayGapsForMalesInRacialEthnicGroupsByOccupationalSeries[[#This Row],[Black Male Avg Salary]]/PayGapsForMalesInRacialEthnicGroupsByOccupationalSeries[[#This Row],[White Male Average Salary]],"")</f>
        <v/>
      </c>
      <c r="P196" s="15" t="str">
        <f>IFERROR(PayGapsForMalesInRacialEthnicGroupsByOccupationalSeries[[#This Row],[Hispanic Latino Male Employees]]/Q$318,"")</f>
        <v/>
      </c>
      <c r="Q196" s="16" t="s">
        <v>0</v>
      </c>
      <c r="R196" s="17" t="s">
        <v>0</v>
      </c>
      <c r="S19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96" s="15" t="str">
        <f>IFERROR(PayGapsForMalesInRacialEthnicGroupsByOccupationalSeries[[#This Row],[Other Male Employees]]/U$318,"")</f>
        <v/>
      </c>
      <c r="U196" s="16" t="s">
        <v>0</v>
      </c>
      <c r="V196" s="17" t="s">
        <v>0</v>
      </c>
      <c r="W19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97" spans="1:23" ht="31.2" x14ac:dyDescent="0.3">
      <c r="A197" s="4" t="s">
        <v>206</v>
      </c>
      <c r="B197" s="25">
        <v>202</v>
      </c>
      <c r="C197" s="26">
        <v>83350.836633662999</v>
      </c>
      <c r="D197" s="15" t="str">
        <f>IFERROR(PayGapsForMalesInRacialEthnicGroupsByOccupationalSeries[[#This Row],[AIAN Male Employees]]/E$318,"")</f>
        <v/>
      </c>
      <c r="E197" s="16" t="s">
        <v>0</v>
      </c>
      <c r="F197" s="17" t="s">
        <v>0</v>
      </c>
      <c r="G197" s="18" t="s">
        <v>0</v>
      </c>
      <c r="H197" s="15" t="str">
        <f>IFERROR(PayGapsForMalesInRacialEthnicGroupsByOccupationalSeries[[#This Row],[ANHPI Male Employees]]/I$318,"")</f>
        <v/>
      </c>
      <c r="I197" s="16" t="s">
        <v>0</v>
      </c>
      <c r="J197" s="17" t="s">
        <v>0</v>
      </c>
      <c r="K197" s="18" t="s">
        <v>0</v>
      </c>
      <c r="L197" s="15" t="str">
        <f>IFERROR(PayGapsForMalesInRacialEthnicGroupsByOccupationalSeries[[#This Row],[Black Male Employees]]/M$318,"")</f>
        <v/>
      </c>
      <c r="M197" s="16" t="s">
        <v>0</v>
      </c>
      <c r="N197" s="17" t="s">
        <v>0</v>
      </c>
      <c r="O197" s="18" t="str">
        <f>IFERROR(PayGapsForMalesInRacialEthnicGroupsByOccupationalSeries[[#This Row],[Black Male Avg Salary]]/PayGapsForMalesInRacialEthnicGroupsByOccupationalSeries[[#This Row],[White Male Average Salary]],"")</f>
        <v/>
      </c>
      <c r="P197" s="15" t="str">
        <f>IFERROR(PayGapsForMalesInRacialEthnicGroupsByOccupationalSeries[[#This Row],[Hispanic Latino Male Employees]]/Q$318,"")</f>
        <v/>
      </c>
      <c r="Q197" s="16" t="s">
        <v>0</v>
      </c>
      <c r="R197" s="17" t="s">
        <v>0</v>
      </c>
      <c r="S19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197" s="15" t="str">
        <f>IFERROR(PayGapsForMalesInRacialEthnicGroupsByOccupationalSeries[[#This Row],[Other Male Employees]]/U$318,"")</f>
        <v/>
      </c>
      <c r="U197" s="16" t="s">
        <v>0</v>
      </c>
      <c r="V197" s="17" t="s">
        <v>0</v>
      </c>
      <c r="W19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198" spans="1:23" ht="15.6" x14ac:dyDescent="0.3">
      <c r="A198" s="4" t="s">
        <v>207</v>
      </c>
      <c r="B198" s="25">
        <v>1987</v>
      </c>
      <c r="C198" s="26">
        <v>109654.38852541499</v>
      </c>
      <c r="D198" s="15" t="str">
        <f>IFERROR(PayGapsForMalesInRacialEthnicGroupsByOccupationalSeries[[#This Row],[AIAN Male Employees]]/E$318,"")</f>
        <v/>
      </c>
      <c r="E198" s="16" t="s">
        <v>0</v>
      </c>
      <c r="F198" s="17" t="s">
        <v>0</v>
      </c>
      <c r="G198" s="18" t="s">
        <v>0</v>
      </c>
      <c r="H198" s="15">
        <f>IFERROR(PayGapsForMalesInRacialEthnicGroupsByOccupationalSeries[[#This Row],[ANHPI Male Employees]]/I$318,"")</f>
        <v>9.0843023255813952E-4</v>
      </c>
      <c r="I198" s="16">
        <v>60</v>
      </c>
      <c r="J198" s="17">
        <v>102844.133333333</v>
      </c>
      <c r="K198" s="18">
        <f>PayGapsForMalesInRacialEthnicGroupsByOccupationalSeries[[#This Row],[ANHPI Male Avg Salary]]/PayGapsForMalesInRacialEthnicGroupsByOccupationalSeries[[#This Row],[White Male Average Salary]]</f>
        <v>0.93789345521266065</v>
      </c>
      <c r="L198" s="15">
        <f>IFERROR(PayGapsForMalesInRacialEthnicGroupsByOccupationalSeries[[#This Row],[Black Male Employees]]/M$318,"")</f>
        <v>2.0397552293724753E-3</v>
      </c>
      <c r="M198" s="16">
        <v>255</v>
      </c>
      <c r="N198" s="17">
        <v>110211.603921569</v>
      </c>
      <c r="O198" s="18">
        <f>IFERROR(PayGapsForMalesInRacialEthnicGroupsByOccupationalSeries[[#This Row],[Black Male Avg Salary]]/PayGapsForMalesInRacialEthnicGroupsByOccupationalSeries[[#This Row],[White Male Average Salary]],"")</f>
        <v>1.0050815603793628</v>
      </c>
      <c r="P198" s="15">
        <f>IFERROR(PayGapsForMalesInRacialEthnicGroupsByOccupationalSeries[[#This Row],[Hispanic Latino Male Employees]]/Q$318,"")</f>
        <v>2.2463230436152587E-3</v>
      </c>
      <c r="Q198" s="16">
        <v>221</v>
      </c>
      <c r="R198" s="17">
        <v>106258.977375566</v>
      </c>
      <c r="S198" s="18">
        <f>IFERROR(PayGapsForMalesInRacialEthnicGroupsByOccupationalSeries[[#This Row],[Hispanic Latino Male Avg Salary]]/PayGapsForMalesInRacialEthnicGroupsByOccupationalSeries[[#This Row],[White Male Average Salary]],"")</f>
        <v>0.96903533734026492</v>
      </c>
      <c r="T198" s="15">
        <f>IFERROR(PayGapsForMalesInRacialEthnicGroupsByOccupationalSeries[[#This Row],[Other Male Employees]]/U$318,"")</f>
        <v>3.3543193312003303E-3</v>
      </c>
      <c r="U198" s="16">
        <v>65</v>
      </c>
      <c r="V198" s="17">
        <v>94869.384615385003</v>
      </c>
      <c r="W198" s="18">
        <f>IFERROR(PayGapsForMalesInRacialEthnicGroupsByOccupationalSeries[[#This Row],[Other Male Avg Salary]]/PayGapsForMalesInRacialEthnicGroupsByOccupationalSeries[[#This Row],[White Male Average Salary]],"")</f>
        <v>0.86516723946161789</v>
      </c>
    </row>
    <row r="199" spans="1:23" ht="15.6" x14ac:dyDescent="0.3">
      <c r="A199" s="4" t="s">
        <v>208</v>
      </c>
      <c r="B199" s="25">
        <v>209</v>
      </c>
      <c r="C199" s="26">
        <v>107248.73684210501</v>
      </c>
      <c r="D199" s="15" t="str">
        <f>IFERROR(PayGapsForMalesInRacialEthnicGroupsByOccupationalSeries[[#This Row],[AIAN Male Employees]]/E$318,"")</f>
        <v/>
      </c>
      <c r="E199" s="16" t="s">
        <v>0</v>
      </c>
      <c r="F199" s="17" t="s">
        <v>0</v>
      </c>
      <c r="G199" s="18" t="s">
        <v>0</v>
      </c>
      <c r="H199" s="15">
        <f>IFERROR(PayGapsForMalesInRacialEthnicGroupsByOccupationalSeries[[#This Row],[ANHPI Male Employees]]/I$318,"")</f>
        <v>1.0295542635658916E-3</v>
      </c>
      <c r="I199" s="16">
        <v>68</v>
      </c>
      <c r="J199" s="17">
        <v>107498.529411765</v>
      </c>
      <c r="K199" s="18">
        <f>PayGapsForMalesInRacialEthnicGroupsByOccupationalSeries[[#This Row],[ANHPI Male Avg Salary]]/PayGapsForMalesInRacialEthnicGroupsByOccupationalSeries[[#This Row],[White Male Average Salary]]</f>
        <v>1.0023290956799589</v>
      </c>
      <c r="L199" s="15" t="str">
        <f>IFERROR(PayGapsForMalesInRacialEthnicGroupsByOccupationalSeries[[#This Row],[Black Male Employees]]/M$318,"")</f>
        <v/>
      </c>
      <c r="M199" s="16" t="s">
        <v>0</v>
      </c>
      <c r="N199" s="17" t="s">
        <v>0</v>
      </c>
      <c r="O199" s="18" t="str">
        <f>IFERROR(PayGapsForMalesInRacialEthnicGroupsByOccupationalSeries[[#This Row],[Black Male Avg Salary]]/PayGapsForMalesInRacialEthnicGroupsByOccupationalSeries[[#This Row],[White Male Average Salary]],"")</f>
        <v/>
      </c>
      <c r="P199" s="15">
        <f>IFERROR(PayGapsForMalesInRacialEthnicGroupsByOccupationalSeries[[#This Row],[Hispanic Latino Male Employees]]/Q$318,"")</f>
        <v>7.7249118241972693E-4</v>
      </c>
      <c r="Q199" s="16">
        <v>76</v>
      </c>
      <c r="R199" s="17">
        <v>95637.302631579005</v>
      </c>
      <c r="S199" s="18">
        <f>IFERROR(PayGapsForMalesInRacialEthnicGroupsByOccupationalSeries[[#This Row],[Hispanic Latino Male Avg Salary]]/PayGapsForMalesInRacialEthnicGroupsByOccupationalSeries[[#This Row],[White Male Average Salary]],"")</f>
        <v>0.891733604027237</v>
      </c>
      <c r="T199" s="15" t="str">
        <f>IFERROR(PayGapsForMalesInRacialEthnicGroupsByOccupationalSeries[[#This Row],[Other Male Employees]]/U$318,"")</f>
        <v/>
      </c>
      <c r="U199" s="16" t="s">
        <v>0</v>
      </c>
      <c r="V199" s="17" t="s">
        <v>0</v>
      </c>
      <c r="W19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00" spans="1:23" ht="15.6" x14ac:dyDescent="0.3">
      <c r="A200" s="4" t="s">
        <v>209</v>
      </c>
      <c r="B200" s="25">
        <v>138</v>
      </c>
      <c r="C200" s="26">
        <v>86805.449275362</v>
      </c>
      <c r="D200" s="15" t="str">
        <f>IFERROR(PayGapsForMalesInRacialEthnicGroupsByOccupationalSeries[[#This Row],[AIAN Male Employees]]/E$318,"")</f>
        <v/>
      </c>
      <c r="E200" s="16" t="s">
        <v>0</v>
      </c>
      <c r="F200" s="17" t="s">
        <v>0</v>
      </c>
      <c r="G200" s="18" t="s">
        <v>0</v>
      </c>
      <c r="H200" s="15" t="str">
        <f>IFERROR(PayGapsForMalesInRacialEthnicGroupsByOccupationalSeries[[#This Row],[ANHPI Male Employees]]/I$318,"")</f>
        <v/>
      </c>
      <c r="I200" s="16" t="s">
        <v>0</v>
      </c>
      <c r="J200" s="17" t="s">
        <v>0</v>
      </c>
      <c r="K200" s="18" t="s">
        <v>0</v>
      </c>
      <c r="L200" s="15" t="str">
        <f>IFERROR(PayGapsForMalesInRacialEthnicGroupsByOccupationalSeries[[#This Row],[Black Male Employees]]/M$318,"")</f>
        <v/>
      </c>
      <c r="M200" s="16" t="s">
        <v>0</v>
      </c>
      <c r="N200" s="17" t="s">
        <v>0</v>
      </c>
      <c r="O200" s="18" t="str">
        <f>IFERROR(PayGapsForMalesInRacialEthnicGroupsByOccupationalSeries[[#This Row],[Black Male Avg Salary]]/PayGapsForMalesInRacialEthnicGroupsByOccupationalSeries[[#This Row],[White Male Average Salary]],"")</f>
        <v/>
      </c>
      <c r="P200" s="15" t="str">
        <f>IFERROR(PayGapsForMalesInRacialEthnicGroupsByOccupationalSeries[[#This Row],[Hispanic Latino Male Employees]]/Q$318,"")</f>
        <v/>
      </c>
      <c r="Q200" s="16" t="s">
        <v>0</v>
      </c>
      <c r="R200" s="17" t="s">
        <v>0</v>
      </c>
      <c r="S20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00" s="15" t="str">
        <f>IFERROR(PayGapsForMalesInRacialEthnicGroupsByOccupationalSeries[[#This Row],[Other Male Employees]]/U$318,"")</f>
        <v/>
      </c>
      <c r="U200" s="16" t="s">
        <v>0</v>
      </c>
      <c r="V200" s="17" t="s">
        <v>0</v>
      </c>
      <c r="W20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01" spans="1:23" ht="15.6" x14ac:dyDescent="0.3">
      <c r="A201" s="4" t="s">
        <v>210</v>
      </c>
      <c r="B201" s="25">
        <v>495</v>
      </c>
      <c r="C201" s="26">
        <v>106047.36565656601</v>
      </c>
      <c r="D201" s="15" t="str">
        <f>IFERROR(PayGapsForMalesInRacialEthnicGroupsByOccupationalSeries[[#This Row],[AIAN Male Employees]]/E$318,"")</f>
        <v/>
      </c>
      <c r="E201" s="16" t="s">
        <v>0</v>
      </c>
      <c r="F201" s="17" t="s">
        <v>0</v>
      </c>
      <c r="G201" s="18" t="s">
        <v>0</v>
      </c>
      <c r="H201" s="15" t="str">
        <f>IFERROR(PayGapsForMalesInRacialEthnicGroupsByOccupationalSeries[[#This Row],[ANHPI Male Employees]]/I$318,"")</f>
        <v/>
      </c>
      <c r="I201" s="16" t="s">
        <v>0</v>
      </c>
      <c r="J201" s="17" t="s">
        <v>0</v>
      </c>
      <c r="K201" s="18" t="s">
        <v>0</v>
      </c>
      <c r="L201" s="15">
        <f>IFERROR(PayGapsForMalesInRacialEthnicGroupsByOccupationalSeries[[#This Row],[Black Male Employees]]/M$318,"")</f>
        <v>9.9188097428308595E-4</v>
      </c>
      <c r="M201" s="16">
        <v>124</v>
      </c>
      <c r="N201" s="17">
        <v>106466.25203252</v>
      </c>
      <c r="O201" s="18">
        <f>IFERROR(PayGapsForMalesInRacialEthnicGroupsByOccupationalSeries[[#This Row],[Black Male Avg Salary]]/PayGapsForMalesInRacialEthnicGroupsByOccupationalSeries[[#This Row],[White Male Average Salary]],"")</f>
        <v>1.0039499932257683</v>
      </c>
      <c r="P201" s="15" t="str">
        <f>IFERROR(PayGapsForMalesInRacialEthnicGroupsByOccupationalSeries[[#This Row],[Hispanic Latino Male Employees]]/Q$318,"")</f>
        <v/>
      </c>
      <c r="Q201" s="16" t="s">
        <v>0</v>
      </c>
      <c r="R201" s="17" t="s">
        <v>0</v>
      </c>
      <c r="S20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01" s="15" t="str">
        <f>IFERROR(PayGapsForMalesInRacialEthnicGroupsByOccupationalSeries[[#This Row],[Other Male Employees]]/U$318,"")</f>
        <v/>
      </c>
      <c r="U201" s="16" t="s">
        <v>0</v>
      </c>
      <c r="V201" s="17" t="s">
        <v>0</v>
      </c>
      <c r="W20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02" spans="1:23" ht="15.6" x14ac:dyDescent="0.3">
      <c r="A202" s="4" t="s">
        <v>211</v>
      </c>
      <c r="B202" s="25">
        <v>313</v>
      </c>
      <c r="C202" s="26">
        <v>112081.10543131</v>
      </c>
      <c r="D202" s="15" t="str">
        <f>IFERROR(PayGapsForMalesInRacialEthnicGroupsByOccupationalSeries[[#This Row],[AIAN Male Employees]]/E$318,"")</f>
        <v/>
      </c>
      <c r="E202" s="16" t="s">
        <v>0</v>
      </c>
      <c r="F202" s="17" t="s">
        <v>0</v>
      </c>
      <c r="G202" s="18" t="s">
        <v>0</v>
      </c>
      <c r="H202" s="15" t="str">
        <f>IFERROR(PayGapsForMalesInRacialEthnicGroupsByOccupationalSeries[[#This Row],[ANHPI Male Employees]]/I$318,"")</f>
        <v/>
      </c>
      <c r="I202" s="16" t="s">
        <v>0</v>
      </c>
      <c r="J202" s="17" t="s">
        <v>0</v>
      </c>
      <c r="K202" s="18" t="s">
        <v>0</v>
      </c>
      <c r="L202" s="15">
        <f>IFERROR(PayGapsForMalesInRacialEthnicGroupsByOccupationalSeries[[#This Row],[Black Male Employees]]/M$318,"")</f>
        <v>2.159740831100268E-4</v>
      </c>
      <c r="M202" s="16">
        <v>27</v>
      </c>
      <c r="N202" s="17">
        <v>108618.74074074101</v>
      </c>
      <c r="O202" s="18">
        <f>IFERROR(PayGapsForMalesInRacialEthnicGroupsByOccupationalSeries[[#This Row],[Black Male Avg Salary]]/PayGapsForMalesInRacialEthnicGroupsByOccupationalSeries[[#This Row],[White Male Average Salary]],"")</f>
        <v>0.96910839987484831</v>
      </c>
      <c r="P202" s="15" t="str">
        <f>IFERROR(PayGapsForMalesInRacialEthnicGroupsByOccupationalSeries[[#This Row],[Hispanic Latino Male Employees]]/Q$318,"")</f>
        <v/>
      </c>
      <c r="Q202" s="16" t="s">
        <v>0</v>
      </c>
      <c r="R202" s="17" t="s">
        <v>0</v>
      </c>
      <c r="S20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02" s="15" t="str">
        <f>IFERROR(PayGapsForMalesInRacialEthnicGroupsByOccupationalSeries[[#This Row],[Other Male Employees]]/U$318,"")</f>
        <v/>
      </c>
      <c r="U202" s="16" t="s">
        <v>0</v>
      </c>
      <c r="V202" s="17" t="s">
        <v>0</v>
      </c>
      <c r="W20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03" spans="1:23" ht="15.6" x14ac:dyDescent="0.3">
      <c r="A203" s="4" t="s">
        <v>212</v>
      </c>
      <c r="B203" s="25">
        <v>344</v>
      </c>
      <c r="C203" s="26">
        <v>101023.57558139499</v>
      </c>
      <c r="D203" s="15" t="str">
        <f>IFERROR(PayGapsForMalesInRacialEthnicGroupsByOccupationalSeries[[#This Row],[AIAN Male Employees]]/E$318,"")</f>
        <v/>
      </c>
      <c r="E203" s="16" t="s">
        <v>0</v>
      </c>
      <c r="F203" s="17" t="s">
        <v>0</v>
      </c>
      <c r="G203" s="18" t="s">
        <v>0</v>
      </c>
      <c r="H203" s="15" t="str">
        <f>IFERROR(PayGapsForMalesInRacialEthnicGroupsByOccupationalSeries[[#This Row],[ANHPI Male Employees]]/I$318,"")</f>
        <v/>
      </c>
      <c r="I203" s="16" t="s">
        <v>0</v>
      </c>
      <c r="J203" s="17" t="s">
        <v>0</v>
      </c>
      <c r="K203" s="18" t="s">
        <v>0</v>
      </c>
      <c r="L203" s="15">
        <f>IFERROR(PayGapsForMalesInRacialEthnicGroupsByOccupationalSeries[[#This Row],[Black Male Employees]]/M$318,"")</f>
        <v>2.9596448426188858E-4</v>
      </c>
      <c r="M203" s="16">
        <v>37</v>
      </c>
      <c r="N203" s="17">
        <v>95662.756756756993</v>
      </c>
      <c r="O203" s="18">
        <f>IFERROR(PayGapsForMalesInRacialEthnicGroupsByOccupationalSeries[[#This Row],[Black Male Avg Salary]]/PayGapsForMalesInRacialEthnicGroupsByOccupationalSeries[[#This Row],[White Male Average Salary]],"")</f>
        <v>0.94693497241820768</v>
      </c>
      <c r="P203" s="15" t="str">
        <f>IFERROR(PayGapsForMalesInRacialEthnicGroupsByOccupationalSeries[[#This Row],[Hispanic Latino Male Employees]]/Q$318,"")</f>
        <v/>
      </c>
      <c r="Q203" s="16" t="s">
        <v>0</v>
      </c>
      <c r="R203" s="17" t="s">
        <v>0</v>
      </c>
      <c r="S20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03" s="15" t="str">
        <f>IFERROR(PayGapsForMalesInRacialEthnicGroupsByOccupationalSeries[[#This Row],[Other Male Employees]]/U$318,"")</f>
        <v/>
      </c>
      <c r="U203" s="16" t="s">
        <v>0</v>
      </c>
      <c r="V203" s="17" t="s">
        <v>0</v>
      </c>
      <c r="W20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04" spans="1:23" ht="15.6" x14ac:dyDescent="0.3">
      <c r="A204" s="4" t="s">
        <v>213</v>
      </c>
      <c r="B204" s="25">
        <v>598</v>
      </c>
      <c r="C204" s="26">
        <v>93544.672240803004</v>
      </c>
      <c r="D204" s="15" t="str">
        <f>IFERROR(PayGapsForMalesInRacialEthnicGroupsByOccupationalSeries[[#This Row],[AIAN Male Employees]]/E$318,"")</f>
        <v/>
      </c>
      <c r="E204" s="16" t="s">
        <v>0</v>
      </c>
      <c r="F204" s="17" t="s">
        <v>0</v>
      </c>
      <c r="G204" s="18" t="s">
        <v>0</v>
      </c>
      <c r="H204" s="15" t="str">
        <f>IFERROR(PayGapsForMalesInRacialEthnicGroupsByOccupationalSeries[[#This Row],[ANHPI Male Employees]]/I$318,"")</f>
        <v/>
      </c>
      <c r="I204" s="16" t="s">
        <v>0</v>
      </c>
      <c r="J204" s="17" t="s">
        <v>0</v>
      </c>
      <c r="K204" s="18" t="s">
        <v>0</v>
      </c>
      <c r="L204" s="15">
        <f>IFERROR(PayGapsForMalesInRacialEthnicGroupsByOccupationalSeries[[#This Row],[Black Male Employees]]/M$318,"")</f>
        <v>1.1438627364716233E-3</v>
      </c>
      <c r="M204" s="16">
        <v>143</v>
      </c>
      <c r="N204" s="17">
        <v>97265.125874125995</v>
      </c>
      <c r="O204" s="18">
        <f>IFERROR(PayGapsForMalesInRacialEthnicGroupsByOccupationalSeries[[#This Row],[Black Male Avg Salary]]/PayGapsForMalesInRacialEthnicGroupsByOccupationalSeries[[#This Row],[White Male Average Salary]],"")</f>
        <v>1.0397719457901973</v>
      </c>
      <c r="P204" s="15">
        <f>IFERROR(PayGapsForMalesInRacialEthnicGroupsByOccupationalSeries[[#This Row],[Hispanic Latino Male Employees]]/Q$318,"")</f>
        <v>8.6397040139048415E-4</v>
      </c>
      <c r="Q204" s="16">
        <v>85</v>
      </c>
      <c r="R204" s="17">
        <v>91755.211764705993</v>
      </c>
      <c r="S204" s="18">
        <f>IFERROR(PayGapsForMalesInRacialEthnicGroupsByOccupationalSeries[[#This Row],[Hispanic Latino Male Avg Salary]]/PayGapsForMalesInRacialEthnicGroupsByOccupationalSeries[[#This Row],[White Male Average Salary]],"")</f>
        <v>0.98087052492427818</v>
      </c>
      <c r="T204" s="15" t="str">
        <f>IFERROR(PayGapsForMalesInRacialEthnicGroupsByOccupationalSeries[[#This Row],[Other Male Employees]]/U$318,"")</f>
        <v/>
      </c>
      <c r="U204" s="16" t="s">
        <v>0</v>
      </c>
      <c r="V204" s="17" t="s">
        <v>0</v>
      </c>
      <c r="W20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05" spans="1:23" ht="15.6" x14ac:dyDescent="0.3">
      <c r="A205" s="4" t="s">
        <v>214</v>
      </c>
      <c r="B205" s="25">
        <v>9321</v>
      </c>
      <c r="C205" s="26">
        <v>112874.90696426699</v>
      </c>
      <c r="D205" s="15">
        <f>IFERROR(PayGapsForMalesInRacialEthnicGroupsByOccupationalSeries[[#This Row],[AIAN Male Employees]]/E$318,"")</f>
        <v>1.1914460285132383E-2</v>
      </c>
      <c r="E205" s="16">
        <v>117</v>
      </c>
      <c r="F205" s="17">
        <v>97111.068376067997</v>
      </c>
      <c r="G205" s="18">
        <f>PayGapsForMalesInRacialEthnicGroupsByOccupationalSeries[[#This Row],[AIAN Male Avg Salary]]/PayGapsForMalesInRacialEthnicGroupsByOccupationalSeries[[#This Row],[White Male Average Salary]]</f>
        <v>0.86034240016526098</v>
      </c>
      <c r="H205" s="15">
        <f>IFERROR(PayGapsForMalesInRacialEthnicGroupsByOccupationalSeries[[#This Row],[ANHPI Male Employees]]/I$318,"")</f>
        <v>1.1885295542635659E-2</v>
      </c>
      <c r="I205" s="16">
        <v>785</v>
      </c>
      <c r="J205" s="17">
        <v>108977.34649681499</v>
      </c>
      <c r="K205" s="18">
        <f>PayGapsForMalesInRacialEthnicGroupsByOccupationalSeries[[#This Row],[ANHPI Male Avg Salary]]/PayGapsForMalesInRacialEthnicGroupsByOccupationalSeries[[#This Row],[White Male Average Salary]]</f>
        <v>0.96547008921401944</v>
      </c>
      <c r="L205" s="15">
        <f>IFERROR(PayGapsForMalesInRacialEthnicGroupsByOccupationalSeries[[#This Row],[Black Male Employees]]/M$318,"")</f>
        <v>1.6062072551293844E-2</v>
      </c>
      <c r="M205" s="16">
        <v>2008</v>
      </c>
      <c r="N205" s="17">
        <v>103437.80976095601</v>
      </c>
      <c r="O205" s="18">
        <f>IFERROR(PayGapsForMalesInRacialEthnicGroupsByOccupationalSeries[[#This Row],[Black Male Avg Salary]]/PayGapsForMalesInRacialEthnicGroupsByOccupationalSeries[[#This Row],[White Male Average Salary]],"")</f>
        <v>0.91639331134688329</v>
      </c>
      <c r="P205" s="15">
        <f>IFERROR(PayGapsForMalesInRacialEthnicGroupsByOccupationalSeries[[#This Row],[Hispanic Latino Male Employees]]/Q$318,"")</f>
        <v>1.0886027057520099E-2</v>
      </c>
      <c r="Q205" s="16">
        <v>1071</v>
      </c>
      <c r="R205" s="17">
        <v>101019.030812325</v>
      </c>
      <c r="S205" s="18">
        <f>IFERROR(PayGapsForMalesInRacialEthnicGroupsByOccupationalSeries[[#This Row],[Hispanic Latino Male Avg Salary]]/PayGapsForMalesInRacialEthnicGroupsByOccupationalSeries[[#This Row],[White Male Average Salary]],"")</f>
        <v>0.8949644657895911</v>
      </c>
      <c r="T205" s="15">
        <f>IFERROR(PayGapsForMalesInRacialEthnicGroupsByOccupationalSeries[[#This Row],[Other Male Employees]]/U$318,"")</f>
        <v>1.7029621219940137E-2</v>
      </c>
      <c r="U205" s="16">
        <v>330</v>
      </c>
      <c r="V205" s="17">
        <v>102102.97878787899</v>
      </c>
      <c r="W205" s="18">
        <f>IFERROR(PayGapsForMalesInRacialEthnicGroupsByOccupationalSeries[[#This Row],[Other Male Avg Salary]]/PayGapsForMalesInRacialEthnicGroupsByOccupationalSeries[[#This Row],[White Male Average Salary]],"")</f>
        <v>0.90456755654471466</v>
      </c>
    </row>
    <row r="206" spans="1:23" ht="15.6" x14ac:dyDescent="0.3">
      <c r="A206" s="4" t="s">
        <v>215</v>
      </c>
      <c r="B206" s="25">
        <v>12350</v>
      </c>
      <c r="C206" s="26">
        <v>106401.801814206</v>
      </c>
      <c r="D206" s="15">
        <f>IFERROR(PayGapsForMalesInRacialEthnicGroupsByOccupationalSeries[[#This Row],[AIAN Male Employees]]/E$318,"")</f>
        <v>1.1914460285132383E-2</v>
      </c>
      <c r="E206" s="16">
        <v>117</v>
      </c>
      <c r="F206" s="17">
        <v>100654.965811966</v>
      </c>
      <c r="G206" s="18">
        <f>PayGapsForMalesInRacialEthnicGroupsByOccupationalSeries[[#This Row],[AIAN Male Avg Salary]]/PayGapsForMalesInRacialEthnicGroupsByOccupationalSeries[[#This Row],[White Male Average Salary]]</f>
        <v>0.94598929807340226</v>
      </c>
      <c r="H206" s="15">
        <f>IFERROR(PayGapsForMalesInRacialEthnicGroupsByOccupationalSeries[[#This Row],[ANHPI Male Employees]]/I$318,"")</f>
        <v>1.4428900193798449E-2</v>
      </c>
      <c r="I206" s="16">
        <v>953</v>
      </c>
      <c r="J206" s="17">
        <v>105824.24029380899</v>
      </c>
      <c r="K206" s="18">
        <f>PayGapsForMalesInRacialEthnicGroupsByOccupationalSeries[[#This Row],[ANHPI Male Avg Salary]]/PayGapsForMalesInRacialEthnicGroupsByOccupationalSeries[[#This Row],[White Male Average Salary]]</f>
        <v>0.99457188214344794</v>
      </c>
      <c r="L206" s="15">
        <f>IFERROR(PayGapsForMalesInRacialEthnicGroupsByOccupationalSeries[[#This Row],[Black Male Employees]]/M$318,"")</f>
        <v>2.6132864056313241E-2</v>
      </c>
      <c r="M206" s="16">
        <v>3267</v>
      </c>
      <c r="N206" s="17">
        <v>104812.64268218</v>
      </c>
      <c r="O206" s="18">
        <f>IFERROR(PayGapsForMalesInRacialEthnicGroupsByOccupationalSeries[[#This Row],[Black Male Avg Salary]]/PayGapsForMalesInRacialEthnicGroupsByOccupationalSeries[[#This Row],[White Male Average Salary]],"")</f>
        <v>0.9850645467940391</v>
      </c>
      <c r="P206" s="15">
        <f>IFERROR(PayGapsForMalesInRacialEthnicGroupsByOccupationalSeries[[#This Row],[Hispanic Latino Male Employees]]/Q$318,"")</f>
        <v>1.3213664962442698E-2</v>
      </c>
      <c r="Q206" s="16">
        <v>1300</v>
      </c>
      <c r="R206" s="17">
        <v>103112.759815242</v>
      </c>
      <c r="S206" s="18">
        <f>IFERROR(PayGapsForMalesInRacialEthnicGroupsByOccupationalSeries[[#This Row],[Hispanic Latino Male Avg Salary]]/PayGapsForMalesInRacialEthnicGroupsByOccupationalSeries[[#This Row],[White Male Average Salary]],"")</f>
        <v>0.96908847460396219</v>
      </c>
      <c r="T206" s="15">
        <f>IFERROR(PayGapsForMalesInRacialEthnicGroupsByOccupationalSeries[[#This Row],[Other Male Employees]]/U$318,"")</f>
        <v>2.549282691712251E-2</v>
      </c>
      <c r="U206" s="16">
        <v>494</v>
      </c>
      <c r="V206" s="17">
        <v>101529.298174442</v>
      </c>
      <c r="W206" s="18">
        <f>IFERROR(PayGapsForMalesInRacialEthnicGroupsByOccupationalSeries[[#This Row],[Other Male Avg Salary]]/PayGapsForMalesInRacialEthnicGroupsByOccupationalSeries[[#This Row],[White Male Average Salary]],"")</f>
        <v>0.95420656834108741</v>
      </c>
    </row>
    <row r="207" spans="1:23" ht="31.2" x14ac:dyDescent="0.3">
      <c r="A207" s="4" t="s">
        <v>216</v>
      </c>
      <c r="B207" s="25">
        <v>154</v>
      </c>
      <c r="C207" s="26">
        <v>97380.090909090999</v>
      </c>
      <c r="D207" s="15" t="str">
        <f>IFERROR(PayGapsForMalesInRacialEthnicGroupsByOccupationalSeries[[#This Row],[AIAN Male Employees]]/E$318,"")</f>
        <v/>
      </c>
      <c r="E207" s="16" t="s">
        <v>0</v>
      </c>
      <c r="F207" s="17" t="s">
        <v>0</v>
      </c>
      <c r="G207" s="18" t="s">
        <v>0</v>
      </c>
      <c r="H207" s="15" t="str">
        <f>IFERROR(PayGapsForMalesInRacialEthnicGroupsByOccupationalSeries[[#This Row],[ANHPI Male Employees]]/I$318,"")</f>
        <v/>
      </c>
      <c r="I207" s="16" t="s">
        <v>0</v>
      </c>
      <c r="J207" s="17" t="s">
        <v>0</v>
      </c>
      <c r="K207" s="18" t="s">
        <v>0</v>
      </c>
      <c r="L207" s="15" t="str">
        <f>IFERROR(PayGapsForMalesInRacialEthnicGroupsByOccupationalSeries[[#This Row],[Black Male Employees]]/M$318,"")</f>
        <v/>
      </c>
      <c r="M207" s="16" t="s">
        <v>0</v>
      </c>
      <c r="N207" s="17" t="s">
        <v>0</v>
      </c>
      <c r="O207" s="18" t="str">
        <f>IFERROR(PayGapsForMalesInRacialEthnicGroupsByOccupationalSeries[[#This Row],[Black Male Avg Salary]]/PayGapsForMalesInRacialEthnicGroupsByOccupationalSeries[[#This Row],[White Male Average Salary]],"")</f>
        <v/>
      </c>
      <c r="P207" s="15" t="str">
        <f>IFERROR(PayGapsForMalesInRacialEthnicGroupsByOccupationalSeries[[#This Row],[Hispanic Latino Male Employees]]/Q$318,"")</f>
        <v/>
      </c>
      <c r="Q207" s="16" t="s">
        <v>0</v>
      </c>
      <c r="R207" s="17" t="s">
        <v>0</v>
      </c>
      <c r="S20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07" s="15" t="str">
        <f>IFERROR(PayGapsForMalesInRacialEthnicGroupsByOccupationalSeries[[#This Row],[Other Male Employees]]/U$318,"")</f>
        <v/>
      </c>
      <c r="U207" s="16" t="s">
        <v>0</v>
      </c>
      <c r="V207" s="17" t="s">
        <v>0</v>
      </c>
      <c r="W20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08" spans="1:23" ht="15.6" x14ac:dyDescent="0.3">
      <c r="A208" s="4" t="s">
        <v>217</v>
      </c>
      <c r="B208" s="25">
        <v>257</v>
      </c>
      <c r="C208" s="26">
        <v>88209.727626459004</v>
      </c>
      <c r="D208" s="15" t="str">
        <f>IFERROR(PayGapsForMalesInRacialEthnicGroupsByOccupationalSeries[[#This Row],[AIAN Male Employees]]/E$318,"")</f>
        <v/>
      </c>
      <c r="E208" s="16" t="s">
        <v>0</v>
      </c>
      <c r="F208" s="17" t="s">
        <v>0</v>
      </c>
      <c r="G208" s="18" t="s">
        <v>0</v>
      </c>
      <c r="H208" s="15" t="str">
        <f>IFERROR(PayGapsForMalesInRacialEthnicGroupsByOccupationalSeries[[#This Row],[ANHPI Male Employees]]/I$318,"")</f>
        <v/>
      </c>
      <c r="I208" s="16" t="s">
        <v>0</v>
      </c>
      <c r="J208" s="17" t="s">
        <v>0</v>
      </c>
      <c r="K208" s="18" t="s">
        <v>0</v>
      </c>
      <c r="L208" s="15">
        <f>IFERROR(PayGapsForMalesInRacialEthnicGroupsByOccupationalSeries[[#This Row],[Black Male Employees]]/M$318,"")</f>
        <v>7.5990881094268692E-4</v>
      </c>
      <c r="M208" s="16">
        <v>95</v>
      </c>
      <c r="N208" s="17">
        <v>83006.170212765996</v>
      </c>
      <c r="O208" s="18">
        <f>IFERROR(PayGapsForMalesInRacialEthnicGroupsByOccupationalSeries[[#This Row],[Black Male Avg Salary]]/PayGapsForMalesInRacialEthnicGroupsByOccupationalSeries[[#This Row],[White Male Average Salary]],"")</f>
        <v>0.94100925653315171</v>
      </c>
      <c r="P208" s="15" t="str">
        <f>IFERROR(PayGapsForMalesInRacialEthnicGroupsByOccupationalSeries[[#This Row],[Hispanic Latino Male Employees]]/Q$318,"")</f>
        <v/>
      </c>
      <c r="Q208" s="16" t="s">
        <v>0</v>
      </c>
      <c r="R208" s="17" t="s">
        <v>0</v>
      </c>
      <c r="S20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08" s="15" t="str">
        <f>IFERROR(PayGapsForMalesInRacialEthnicGroupsByOccupationalSeries[[#This Row],[Other Male Employees]]/U$318,"")</f>
        <v/>
      </c>
      <c r="U208" s="16" t="s">
        <v>0</v>
      </c>
      <c r="V208" s="17" t="s">
        <v>0</v>
      </c>
      <c r="W20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09" spans="1:23" ht="15.6" x14ac:dyDescent="0.3">
      <c r="A209" s="4" t="s">
        <v>218</v>
      </c>
      <c r="B209" s="25">
        <v>654</v>
      </c>
      <c r="C209" s="26">
        <v>52106.304615385001</v>
      </c>
      <c r="D209" s="15" t="str">
        <f>IFERROR(PayGapsForMalesInRacialEthnicGroupsByOccupationalSeries[[#This Row],[AIAN Male Employees]]/E$318,"")</f>
        <v/>
      </c>
      <c r="E209" s="16" t="s">
        <v>0</v>
      </c>
      <c r="F209" s="17" t="s">
        <v>0</v>
      </c>
      <c r="G209" s="18" t="s">
        <v>0</v>
      </c>
      <c r="H209" s="15">
        <f>IFERROR(PayGapsForMalesInRacialEthnicGroupsByOccupationalSeries[[#This Row],[ANHPI Male Employees]]/I$318,"")</f>
        <v>1.0749757751937984E-3</v>
      </c>
      <c r="I209" s="16">
        <v>71</v>
      </c>
      <c r="J209" s="17">
        <v>58372.521126760999</v>
      </c>
      <c r="K209" s="18">
        <f>PayGapsForMalesInRacialEthnicGroupsByOccupationalSeries[[#This Row],[ANHPI Male Avg Salary]]/PayGapsForMalesInRacialEthnicGroupsByOccupationalSeries[[#This Row],[White Male Average Salary]]</f>
        <v>1.120258317254105</v>
      </c>
      <c r="L209" s="15">
        <f>IFERROR(PayGapsForMalesInRacialEthnicGroupsByOccupationalSeries[[#This Row],[Black Male Employees]]/M$318,"")</f>
        <v>2.8476582810062793E-3</v>
      </c>
      <c r="M209" s="16">
        <v>356</v>
      </c>
      <c r="N209" s="17">
        <v>52522.275280898997</v>
      </c>
      <c r="O209" s="18">
        <f>IFERROR(PayGapsForMalesInRacialEthnicGroupsByOccupationalSeries[[#This Row],[Black Male Avg Salary]]/PayGapsForMalesInRacialEthnicGroupsByOccupationalSeries[[#This Row],[White Male Average Salary]],"")</f>
        <v>1.0079831158356829</v>
      </c>
      <c r="P209" s="15">
        <f>IFERROR(PayGapsForMalesInRacialEthnicGroupsByOccupationalSeries[[#This Row],[Hispanic Latino Male Employees]]/Q$318,"")</f>
        <v>1.2807090655906001E-3</v>
      </c>
      <c r="Q209" s="16">
        <v>126</v>
      </c>
      <c r="R209" s="17">
        <v>54234.720000000001</v>
      </c>
      <c r="S209" s="18">
        <f>IFERROR(PayGapsForMalesInRacialEthnicGroupsByOccupationalSeries[[#This Row],[Hispanic Latino Male Avg Salary]]/PayGapsForMalesInRacialEthnicGroupsByOccupationalSeries[[#This Row],[White Male Average Salary]],"")</f>
        <v>1.0408475596249933</v>
      </c>
      <c r="T209" s="15" t="str">
        <f>IFERROR(PayGapsForMalesInRacialEthnicGroupsByOccupationalSeries[[#This Row],[Other Male Employees]]/U$318,"")</f>
        <v/>
      </c>
      <c r="U209" s="16" t="s">
        <v>0</v>
      </c>
      <c r="V209" s="17" t="s">
        <v>0</v>
      </c>
      <c r="W20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10" spans="1:23" ht="31.2" x14ac:dyDescent="0.3">
      <c r="A210" s="4" t="s">
        <v>219</v>
      </c>
      <c r="B210" s="25">
        <v>172</v>
      </c>
      <c r="C210" s="26">
        <v>52505.808139535002</v>
      </c>
      <c r="D210" s="15" t="str">
        <f>IFERROR(PayGapsForMalesInRacialEthnicGroupsByOccupationalSeries[[#This Row],[AIAN Male Employees]]/E$318,"")</f>
        <v/>
      </c>
      <c r="E210" s="16" t="s">
        <v>0</v>
      </c>
      <c r="F210" s="17" t="s">
        <v>0</v>
      </c>
      <c r="G210" s="18" t="s">
        <v>0</v>
      </c>
      <c r="H210" s="15" t="str">
        <f>IFERROR(PayGapsForMalesInRacialEthnicGroupsByOccupationalSeries[[#This Row],[ANHPI Male Employees]]/I$318,"")</f>
        <v/>
      </c>
      <c r="I210" s="16" t="s">
        <v>0</v>
      </c>
      <c r="J210" s="17" t="s">
        <v>0</v>
      </c>
      <c r="K210" s="18" t="s">
        <v>0</v>
      </c>
      <c r="L210" s="15">
        <f>IFERROR(PayGapsForMalesInRacialEthnicGroupsByOccupationalSeries[[#This Row],[Black Male Employees]]/M$318,"")</f>
        <v>5.8392992840859096E-4</v>
      </c>
      <c r="M210" s="16">
        <v>73</v>
      </c>
      <c r="N210" s="17">
        <v>52217.739726027001</v>
      </c>
      <c r="O210" s="18">
        <f>IFERROR(PayGapsForMalesInRacialEthnicGroupsByOccupationalSeries[[#This Row],[Black Male Avg Salary]]/PayGapsForMalesInRacialEthnicGroupsByOccupationalSeries[[#This Row],[White Male Average Salary]],"")</f>
        <v>0.99451358956817781</v>
      </c>
      <c r="P210" s="15" t="str">
        <f>IFERROR(PayGapsForMalesInRacialEthnicGroupsByOccupationalSeries[[#This Row],[Hispanic Latino Male Employees]]/Q$318,"")</f>
        <v/>
      </c>
      <c r="Q210" s="16" t="s">
        <v>0</v>
      </c>
      <c r="R210" s="17" t="s">
        <v>0</v>
      </c>
      <c r="S21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10" s="15" t="str">
        <f>IFERROR(PayGapsForMalesInRacialEthnicGroupsByOccupationalSeries[[#This Row],[Other Male Employees]]/U$318,"")</f>
        <v/>
      </c>
      <c r="U210" s="16" t="s">
        <v>0</v>
      </c>
      <c r="V210" s="17" t="s">
        <v>0</v>
      </c>
      <c r="W21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11" spans="1:23" ht="15.6" x14ac:dyDescent="0.3">
      <c r="A211" s="4" t="s">
        <v>220</v>
      </c>
      <c r="B211" s="25">
        <v>466</v>
      </c>
      <c r="C211" s="26">
        <v>113157.72532188801</v>
      </c>
      <c r="D211" s="15" t="str">
        <f>IFERROR(PayGapsForMalesInRacialEthnicGroupsByOccupationalSeries[[#This Row],[AIAN Male Employees]]/E$318,"")</f>
        <v/>
      </c>
      <c r="E211" s="16" t="s">
        <v>0</v>
      </c>
      <c r="F211" s="17" t="s">
        <v>0</v>
      </c>
      <c r="G211" s="18" t="s">
        <v>0</v>
      </c>
      <c r="H211" s="15">
        <f>IFERROR(PayGapsForMalesInRacialEthnicGroupsByOccupationalSeries[[#This Row],[ANHPI Male Employees]]/I$318,"")</f>
        <v>7.4188468992248064E-4</v>
      </c>
      <c r="I211" s="16">
        <v>49</v>
      </c>
      <c r="J211" s="17">
        <v>109519.795918367</v>
      </c>
      <c r="K211" s="18">
        <f>PayGapsForMalesInRacialEthnicGroupsByOccupationalSeries[[#This Row],[ANHPI Male Avg Salary]]/PayGapsForMalesInRacialEthnicGroupsByOccupationalSeries[[#This Row],[White Male Average Salary]]</f>
        <v>0.96785080830166426</v>
      </c>
      <c r="L211" s="15">
        <f>IFERROR(PayGapsForMalesInRacialEthnicGroupsByOccupationalSeries[[#This Row],[Black Male Employees]]/M$318,"")</f>
        <v>1.79978402591689E-3</v>
      </c>
      <c r="M211" s="16">
        <v>225</v>
      </c>
      <c r="N211" s="17">
        <v>115748.12</v>
      </c>
      <c r="O211" s="18">
        <f>IFERROR(PayGapsForMalesInRacialEthnicGroupsByOccupationalSeries[[#This Row],[Black Male Avg Salary]]/PayGapsForMalesInRacialEthnicGroupsByOccupationalSeries[[#This Row],[White Male Average Salary]],"")</f>
        <v>1.0228918942188292</v>
      </c>
      <c r="P211" s="15">
        <f>IFERROR(PayGapsForMalesInRacialEthnicGroupsByOccupationalSeries[[#This Row],[Hispanic Latino Male Employees]]/Q$318,"")</f>
        <v>4.8788916784403807E-4</v>
      </c>
      <c r="Q211" s="16">
        <v>48</v>
      </c>
      <c r="R211" s="17">
        <v>106396.47916666701</v>
      </c>
      <c r="S211" s="18">
        <f>IFERROR(PayGapsForMalesInRacialEthnicGroupsByOccupationalSeries[[#This Row],[Hispanic Latino Male Avg Salary]]/PayGapsForMalesInRacialEthnicGroupsByOccupationalSeries[[#This Row],[White Male Average Salary]],"")</f>
        <v>0.94024936312577878</v>
      </c>
      <c r="T211" s="15" t="str">
        <f>IFERROR(PayGapsForMalesInRacialEthnicGroupsByOccupationalSeries[[#This Row],[Other Male Employees]]/U$318,"")</f>
        <v/>
      </c>
      <c r="U211" s="16" t="s">
        <v>0</v>
      </c>
      <c r="V211" s="17" t="s">
        <v>0</v>
      </c>
      <c r="W21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12" spans="1:23" ht="15.6" x14ac:dyDescent="0.3">
      <c r="A212" s="4" t="s">
        <v>221</v>
      </c>
      <c r="B212" s="25">
        <v>163</v>
      </c>
      <c r="C212" s="26">
        <v>115002.00613496899</v>
      </c>
      <c r="D212" s="15" t="str">
        <f>IFERROR(PayGapsForMalesInRacialEthnicGroupsByOccupationalSeries[[#This Row],[AIAN Male Employees]]/E$318,"")</f>
        <v/>
      </c>
      <c r="E212" s="16" t="s">
        <v>0</v>
      </c>
      <c r="F212" s="17" t="s">
        <v>0</v>
      </c>
      <c r="G212" s="18" t="s">
        <v>0</v>
      </c>
      <c r="H212" s="15" t="str">
        <f>IFERROR(PayGapsForMalesInRacialEthnicGroupsByOccupationalSeries[[#This Row],[ANHPI Male Employees]]/I$318,"")</f>
        <v/>
      </c>
      <c r="I212" s="16" t="s">
        <v>0</v>
      </c>
      <c r="J212" s="17" t="s">
        <v>0</v>
      </c>
      <c r="K212" s="18" t="s">
        <v>0</v>
      </c>
      <c r="L212" s="15" t="str">
        <f>IFERROR(PayGapsForMalesInRacialEthnicGroupsByOccupationalSeries[[#This Row],[Black Male Employees]]/M$318,"")</f>
        <v/>
      </c>
      <c r="M212" s="16" t="s">
        <v>0</v>
      </c>
      <c r="N212" s="17" t="s">
        <v>0</v>
      </c>
      <c r="O212" s="18" t="str">
        <f>IFERROR(PayGapsForMalesInRacialEthnicGroupsByOccupationalSeries[[#This Row],[Black Male Avg Salary]]/PayGapsForMalesInRacialEthnicGroupsByOccupationalSeries[[#This Row],[White Male Average Salary]],"")</f>
        <v/>
      </c>
      <c r="P212" s="15" t="str">
        <f>IFERROR(PayGapsForMalesInRacialEthnicGroupsByOccupationalSeries[[#This Row],[Hispanic Latino Male Employees]]/Q$318,"")</f>
        <v/>
      </c>
      <c r="Q212" s="16" t="s">
        <v>0</v>
      </c>
      <c r="R212" s="17" t="s">
        <v>0</v>
      </c>
      <c r="S21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12" s="15" t="str">
        <f>IFERROR(PayGapsForMalesInRacialEthnicGroupsByOccupationalSeries[[#This Row],[Other Male Employees]]/U$318,"")</f>
        <v/>
      </c>
      <c r="U212" s="16" t="s">
        <v>0</v>
      </c>
      <c r="V212" s="17" t="s">
        <v>0</v>
      </c>
      <c r="W21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13" spans="1:23" ht="15.6" x14ac:dyDescent="0.3">
      <c r="A213" s="4" t="s">
        <v>222</v>
      </c>
      <c r="B213" s="25">
        <v>273</v>
      </c>
      <c r="C213" s="26">
        <v>129129.444852941</v>
      </c>
      <c r="D213" s="15" t="str">
        <f>IFERROR(PayGapsForMalesInRacialEthnicGroupsByOccupationalSeries[[#This Row],[AIAN Male Employees]]/E$318,"")</f>
        <v/>
      </c>
      <c r="E213" s="16" t="s">
        <v>0</v>
      </c>
      <c r="F213" s="17" t="s">
        <v>0</v>
      </c>
      <c r="G213" s="18" t="s">
        <v>0</v>
      </c>
      <c r="H213" s="15" t="str">
        <f>IFERROR(PayGapsForMalesInRacialEthnicGroupsByOccupationalSeries[[#This Row],[ANHPI Male Employees]]/I$318,"")</f>
        <v/>
      </c>
      <c r="I213" s="16" t="s">
        <v>0</v>
      </c>
      <c r="J213" s="17" t="s">
        <v>0</v>
      </c>
      <c r="K213" s="18" t="s">
        <v>0</v>
      </c>
      <c r="L213" s="15" t="str">
        <f>IFERROR(PayGapsForMalesInRacialEthnicGroupsByOccupationalSeries[[#This Row],[Black Male Employees]]/M$318,"")</f>
        <v/>
      </c>
      <c r="M213" s="16" t="s">
        <v>0</v>
      </c>
      <c r="N213" s="17" t="s">
        <v>0</v>
      </c>
      <c r="O213" s="18" t="str">
        <f>IFERROR(PayGapsForMalesInRacialEthnicGroupsByOccupationalSeries[[#This Row],[Black Male Avg Salary]]/PayGapsForMalesInRacialEthnicGroupsByOccupationalSeries[[#This Row],[White Male Average Salary]],"")</f>
        <v/>
      </c>
      <c r="P213" s="15" t="str">
        <f>IFERROR(PayGapsForMalesInRacialEthnicGroupsByOccupationalSeries[[#This Row],[Hispanic Latino Male Employees]]/Q$318,"")</f>
        <v/>
      </c>
      <c r="Q213" s="16" t="s">
        <v>0</v>
      </c>
      <c r="R213" s="17" t="s">
        <v>0</v>
      </c>
      <c r="S21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13" s="15" t="str">
        <f>IFERROR(PayGapsForMalesInRacialEthnicGroupsByOccupationalSeries[[#This Row],[Other Male Employees]]/U$318,"")</f>
        <v/>
      </c>
      <c r="U213" s="16" t="s">
        <v>0</v>
      </c>
      <c r="V213" s="17" t="s">
        <v>0</v>
      </c>
      <c r="W21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14" spans="1:23" ht="15.6" x14ac:dyDescent="0.3">
      <c r="A214" s="4" t="s">
        <v>223</v>
      </c>
      <c r="B214" s="25">
        <v>344</v>
      </c>
      <c r="C214" s="26">
        <v>77061.810495626996</v>
      </c>
      <c r="D214" s="15" t="str">
        <f>IFERROR(PayGapsForMalesInRacialEthnicGroupsByOccupationalSeries[[#This Row],[AIAN Male Employees]]/E$318,"")</f>
        <v/>
      </c>
      <c r="E214" s="16" t="s">
        <v>0</v>
      </c>
      <c r="F214" s="17" t="s">
        <v>0</v>
      </c>
      <c r="G214" s="18" t="s">
        <v>0</v>
      </c>
      <c r="H214" s="15">
        <f>IFERROR(PayGapsForMalesInRacialEthnicGroupsByOccupationalSeries[[#This Row],[ANHPI Male Employees]]/I$318,"")</f>
        <v>8.0244670542635661E-4</v>
      </c>
      <c r="I214" s="16">
        <v>53</v>
      </c>
      <c r="J214" s="17">
        <v>69521.358490565995</v>
      </c>
      <c r="K214" s="18">
        <f>PayGapsForMalesInRacialEthnicGroupsByOccupationalSeries[[#This Row],[ANHPI Male Avg Salary]]/PayGapsForMalesInRacialEthnicGroupsByOccupationalSeries[[#This Row],[White Male Average Salary]]</f>
        <v>0.90215059889504023</v>
      </c>
      <c r="L214" s="15">
        <f>IFERROR(PayGapsForMalesInRacialEthnicGroupsByOccupationalSeries[[#This Row],[Black Male Employees]]/M$318,"")</f>
        <v>1.1998560172779267E-3</v>
      </c>
      <c r="M214" s="16">
        <v>150</v>
      </c>
      <c r="N214" s="17">
        <v>76154.173333333005</v>
      </c>
      <c r="O214" s="18">
        <f>IFERROR(PayGapsForMalesInRacialEthnicGroupsByOccupationalSeries[[#This Row],[Black Male Avg Salary]]/PayGapsForMalesInRacialEthnicGroupsByOccupationalSeries[[#This Row],[White Male Average Salary]],"")</f>
        <v>0.98822195901632115</v>
      </c>
      <c r="P214" s="15">
        <f>IFERROR(PayGapsForMalesInRacialEthnicGroupsByOccupationalSeries[[#This Row],[Hispanic Latino Male Employees]]/Q$318,"")</f>
        <v>8.0298425540997938E-4</v>
      </c>
      <c r="Q214" s="16">
        <v>79</v>
      </c>
      <c r="R214" s="17">
        <v>71463.848101266005</v>
      </c>
      <c r="S214" s="18">
        <f>IFERROR(PayGapsForMalesInRacialEthnicGroupsByOccupationalSeries[[#This Row],[Hispanic Latino Male Avg Salary]]/PayGapsForMalesInRacialEthnicGroupsByOccupationalSeries[[#This Row],[White Male Average Salary]],"")</f>
        <v>0.92735750226529312</v>
      </c>
      <c r="T214" s="15" t="str">
        <f>IFERROR(PayGapsForMalesInRacialEthnicGroupsByOccupationalSeries[[#This Row],[Other Male Employees]]/U$318,"")</f>
        <v/>
      </c>
      <c r="U214" s="16" t="s">
        <v>0</v>
      </c>
      <c r="V214" s="17" t="s">
        <v>0</v>
      </c>
      <c r="W21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15" spans="1:23" ht="15.6" x14ac:dyDescent="0.3">
      <c r="A215" s="4" t="s">
        <v>224</v>
      </c>
      <c r="B215" s="25">
        <v>100</v>
      </c>
      <c r="C215" s="26">
        <v>107415.89</v>
      </c>
      <c r="D215" s="15" t="str">
        <f>IFERROR(PayGapsForMalesInRacialEthnicGroupsByOccupationalSeries[[#This Row],[AIAN Male Employees]]/E$318,"")</f>
        <v/>
      </c>
      <c r="E215" s="16" t="s">
        <v>0</v>
      </c>
      <c r="F215" s="17" t="s">
        <v>0</v>
      </c>
      <c r="G215" s="18" t="s">
        <v>0</v>
      </c>
      <c r="H215" s="15" t="str">
        <f>IFERROR(PayGapsForMalesInRacialEthnicGroupsByOccupationalSeries[[#This Row],[ANHPI Male Employees]]/I$318,"")</f>
        <v/>
      </c>
      <c r="I215" s="16" t="s">
        <v>0</v>
      </c>
      <c r="J215" s="17" t="s">
        <v>0</v>
      </c>
      <c r="K215" s="18" t="s">
        <v>0</v>
      </c>
      <c r="L215" s="15" t="str">
        <f>IFERROR(PayGapsForMalesInRacialEthnicGroupsByOccupationalSeries[[#This Row],[Black Male Employees]]/M$318,"")</f>
        <v/>
      </c>
      <c r="M215" s="16" t="s">
        <v>0</v>
      </c>
      <c r="N215" s="17" t="s">
        <v>0</v>
      </c>
      <c r="O215" s="18" t="str">
        <f>IFERROR(PayGapsForMalesInRacialEthnicGroupsByOccupationalSeries[[#This Row],[Black Male Avg Salary]]/PayGapsForMalesInRacialEthnicGroupsByOccupationalSeries[[#This Row],[White Male Average Salary]],"")</f>
        <v/>
      </c>
      <c r="P215" s="15" t="str">
        <f>IFERROR(PayGapsForMalesInRacialEthnicGroupsByOccupationalSeries[[#This Row],[Hispanic Latino Male Employees]]/Q$318,"")</f>
        <v/>
      </c>
      <c r="Q215" s="16" t="s">
        <v>0</v>
      </c>
      <c r="R215" s="17" t="s">
        <v>0</v>
      </c>
      <c r="S21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15" s="15" t="str">
        <f>IFERROR(PayGapsForMalesInRacialEthnicGroupsByOccupationalSeries[[#This Row],[Other Male Employees]]/U$318,"")</f>
        <v/>
      </c>
      <c r="U215" s="16" t="s">
        <v>0</v>
      </c>
      <c r="V215" s="17" t="s">
        <v>0</v>
      </c>
      <c r="W21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16" spans="1:23" ht="15.6" x14ac:dyDescent="0.3">
      <c r="A216" s="4" t="s">
        <v>225</v>
      </c>
      <c r="B216" s="25">
        <v>208</v>
      </c>
      <c r="C216" s="26">
        <v>110753.634615385</v>
      </c>
      <c r="D216" s="15" t="str">
        <f>IFERROR(PayGapsForMalesInRacialEthnicGroupsByOccupationalSeries[[#This Row],[AIAN Male Employees]]/E$318,"")</f>
        <v/>
      </c>
      <c r="E216" s="16" t="s">
        <v>0</v>
      </c>
      <c r="F216" s="17" t="s">
        <v>0</v>
      </c>
      <c r="G216" s="18" t="s">
        <v>0</v>
      </c>
      <c r="H216" s="15" t="str">
        <f>IFERROR(PayGapsForMalesInRacialEthnicGroupsByOccupationalSeries[[#This Row],[ANHPI Male Employees]]/I$318,"")</f>
        <v/>
      </c>
      <c r="I216" s="16" t="s">
        <v>0</v>
      </c>
      <c r="J216" s="17" t="s">
        <v>0</v>
      </c>
      <c r="K216" s="18" t="s">
        <v>0</v>
      </c>
      <c r="L216" s="15" t="str">
        <f>IFERROR(PayGapsForMalesInRacialEthnicGroupsByOccupationalSeries[[#This Row],[Black Male Employees]]/M$318,"")</f>
        <v/>
      </c>
      <c r="M216" s="16" t="s">
        <v>0</v>
      </c>
      <c r="N216" s="17" t="s">
        <v>0</v>
      </c>
      <c r="O216" s="18" t="str">
        <f>IFERROR(PayGapsForMalesInRacialEthnicGroupsByOccupationalSeries[[#This Row],[Black Male Avg Salary]]/PayGapsForMalesInRacialEthnicGroupsByOccupationalSeries[[#This Row],[White Male Average Salary]],"")</f>
        <v/>
      </c>
      <c r="P216" s="15" t="str">
        <f>IFERROR(PayGapsForMalesInRacialEthnicGroupsByOccupationalSeries[[#This Row],[Hispanic Latino Male Employees]]/Q$318,"")</f>
        <v/>
      </c>
      <c r="Q216" s="16" t="s">
        <v>0</v>
      </c>
      <c r="R216" s="17" t="s">
        <v>0</v>
      </c>
      <c r="S21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16" s="15" t="str">
        <f>IFERROR(PayGapsForMalesInRacialEthnicGroupsByOccupationalSeries[[#This Row],[Other Male Employees]]/U$318,"")</f>
        <v/>
      </c>
      <c r="U216" s="16" t="s">
        <v>0</v>
      </c>
      <c r="V216" s="17" t="s">
        <v>0</v>
      </c>
      <c r="W21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17" spans="1:23" ht="15.6" x14ac:dyDescent="0.3">
      <c r="A217" s="4" t="s">
        <v>226</v>
      </c>
      <c r="B217" s="25">
        <v>64</v>
      </c>
      <c r="C217" s="26">
        <v>90647.921875</v>
      </c>
      <c r="D217" s="15" t="str">
        <f>IFERROR(PayGapsForMalesInRacialEthnicGroupsByOccupationalSeries[[#This Row],[AIAN Male Employees]]/E$318,"")</f>
        <v/>
      </c>
      <c r="E217" s="16" t="s">
        <v>0</v>
      </c>
      <c r="F217" s="17" t="s">
        <v>0</v>
      </c>
      <c r="G217" s="18" t="s">
        <v>0</v>
      </c>
      <c r="H217" s="15" t="str">
        <f>IFERROR(PayGapsForMalesInRacialEthnicGroupsByOccupationalSeries[[#This Row],[ANHPI Male Employees]]/I$318,"")</f>
        <v/>
      </c>
      <c r="I217" s="16" t="s">
        <v>0</v>
      </c>
      <c r="J217" s="17" t="s">
        <v>0</v>
      </c>
      <c r="K217" s="18" t="s">
        <v>0</v>
      </c>
      <c r="L217" s="15" t="str">
        <f>IFERROR(PayGapsForMalesInRacialEthnicGroupsByOccupationalSeries[[#This Row],[Black Male Employees]]/M$318,"")</f>
        <v/>
      </c>
      <c r="M217" s="16" t="s">
        <v>0</v>
      </c>
      <c r="N217" s="17" t="s">
        <v>0</v>
      </c>
      <c r="O217" s="18" t="str">
        <f>IFERROR(PayGapsForMalesInRacialEthnicGroupsByOccupationalSeries[[#This Row],[Black Male Avg Salary]]/PayGapsForMalesInRacialEthnicGroupsByOccupationalSeries[[#This Row],[White Male Average Salary]],"")</f>
        <v/>
      </c>
      <c r="P217" s="15" t="str">
        <f>IFERROR(PayGapsForMalesInRacialEthnicGroupsByOccupationalSeries[[#This Row],[Hispanic Latino Male Employees]]/Q$318,"")</f>
        <v/>
      </c>
      <c r="Q217" s="16" t="s">
        <v>0</v>
      </c>
      <c r="R217" s="17" t="s">
        <v>0</v>
      </c>
      <c r="S21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17" s="15" t="str">
        <f>IFERROR(PayGapsForMalesInRacialEthnicGroupsByOccupationalSeries[[#This Row],[Other Male Employees]]/U$318,"")</f>
        <v/>
      </c>
      <c r="U217" s="16" t="s">
        <v>0</v>
      </c>
      <c r="V217" s="17" t="s">
        <v>0</v>
      </c>
      <c r="W21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18" spans="1:23" ht="15.6" x14ac:dyDescent="0.3">
      <c r="A218" s="4" t="s">
        <v>227</v>
      </c>
      <c r="B218" s="25">
        <v>635</v>
      </c>
      <c r="C218" s="26">
        <v>99421.943307087</v>
      </c>
      <c r="D218" s="15" t="str">
        <f>IFERROR(PayGapsForMalesInRacialEthnicGroupsByOccupationalSeries[[#This Row],[AIAN Male Employees]]/E$318,"")</f>
        <v/>
      </c>
      <c r="E218" s="16" t="s">
        <v>0</v>
      </c>
      <c r="F218" s="17" t="s">
        <v>0</v>
      </c>
      <c r="G218" s="18" t="s">
        <v>0</v>
      </c>
      <c r="H218" s="15" t="str">
        <f>IFERROR(PayGapsForMalesInRacialEthnicGroupsByOccupationalSeries[[#This Row],[ANHPI Male Employees]]/I$318,"")</f>
        <v/>
      </c>
      <c r="I218" s="16" t="s">
        <v>0</v>
      </c>
      <c r="J218" s="17" t="s">
        <v>0</v>
      </c>
      <c r="K218" s="18" t="s">
        <v>0</v>
      </c>
      <c r="L218" s="15">
        <f>IFERROR(PayGapsForMalesInRacialEthnicGroupsByOccupationalSeries[[#This Row],[Black Male Employees]]/M$318,"")</f>
        <v>7.4391073071231452E-4</v>
      </c>
      <c r="M218" s="16">
        <v>93</v>
      </c>
      <c r="N218" s="17">
        <v>94994.569892472995</v>
      </c>
      <c r="O218" s="18">
        <f>IFERROR(PayGapsForMalesInRacialEthnicGroupsByOccupationalSeries[[#This Row],[Black Male Avg Salary]]/PayGapsForMalesInRacialEthnicGroupsByOccupationalSeries[[#This Row],[White Male Average Salary]],"")</f>
        <v>0.95546885056411468</v>
      </c>
      <c r="P218" s="15" t="str">
        <f>IFERROR(PayGapsForMalesInRacialEthnicGroupsByOccupationalSeries[[#This Row],[Hispanic Latino Male Employees]]/Q$318,"")</f>
        <v/>
      </c>
      <c r="Q218" s="16" t="s">
        <v>0</v>
      </c>
      <c r="R218" s="17" t="s">
        <v>0</v>
      </c>
      <c r="S21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18" s="15" t="str">
        <f>IFERROR(PayGapsForMalesInRacialEthnicGroupsByOccupationalSeries[[#This Row],[Other Male Employees]]/U$318,"")</f>
        <v/>
      </c>
      <c r="U218" s="16" t="s">
        <v>0</v>
      </c>
      <c r="V218" s="17" t="s">
        <v>0</v>
      </c>
      <c r="W21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19" spans="1:23" ht="15.6" x14ac:dyDescent="0.3">
      <c r="A219" s="4" t="s">
        <v>228</v>
      </c>
      <c r="B219" s="25">
        <v>2842</v>
      </c>
      <c r="C219" s="26">
        <v>76626.534670890993</v>
      </c>
      <c r="D219" s="15" t="str">
        <f>IFERROR(PayGapsForMalesInRacialEthnicGroupsByOccupationalSeries[[#This Row],[AIAN Male Employees]]/E$318,"")</f>
        <v/>
      </c>
      <c r="E219" s="16" t="s">
        <v>0</v>
      </c>
      <c r="F219" s="17" t="s">
        <v>0</v>
      </c>
      <c r="G219" s="18" t="s">
        <v>0</v>
      </c>
      <c r="H219" s="15">
        <f>IFERROR(PayGapsForMalesInRacialEthnicGroupsByOccupationalSeries[[#This Row],[ANHPI Male Employees]]/I$318,"")</f>
        <v>2.4679021317829458E-3</v>
      </c>
      <c r="I219" s="16">
        <v>163</v>
      </c>
      <c r="J219" s="17">
        <v>79372.773006135001</v>
      </c>
      <c r="K219" s="18">
        <f>PayGapsForMalesInRacialEthnicGroupsByOccupationalSeries[[#This Row],[ANHPI Male Avg Salary]]/PayGapsForMalesInRacialEthnicGroupsByOccupationalSeries[[#This Row],[White Male Average Salary]]</f>
        <v>1.035839260473399</v>
      </c>
      <c r="L219" s="15">
        <f>IFERROR(PayGapsForMalesInRacialEthnicGroupsByOccupationalSeries[[#This Row],[Black Male Employees]]/M$318,"")</f>
        <v>3.5355757309122903E-3</v>
      </c>
      <c r="M219" s="16">
        <v>442</v>
      </c>
      <c r="N219" s="17">
        <v>70578.110859729</v>
      </c>
      <c r="O219" s="18">
        <f>IFERROR(PayGapsForMalesInRacialEthnicGroupsByOccupationalSeries[[#This Row],[Black Male Avg Salary]]/PayGapsForMalesInRacialEthnicGroupsByOccupationalSeries[[#This Row],[White Male Average Salary]],"")</f>
        <v>0.92106619675364654</v>
      </c>
      <c r="P219" s="15">
        <f>IFERROR(PayGapsForMalesInRacialEthnicGroupsByOccupationalSeries[[#This Row],[Hispanic Latino Male Employees]]/Q$318,"")</f>
        <v>3.2627588099570048E-3</v>
      </c>
      <c r="Q219" s="16">
        <v>321</v>
      </c>
      <c r="R219" s="17">
        <v>71627.514018692003</v>
      </c>
      <c r="S219" s="18">
        <f>IFERROR(PayGapsForMalesInRacialEthnicGroupsByOccupationalSeries[[#This Row],[Hispanic Latino Male Avg Salary]]/PayGapsForMalesInRacialEthnicGroupsByOccupationalSeries[[#This Row],[White Male Average Salary]],"")</f>
        <v>0.9347612328592223</v>
      </c>
      <c r="T219" s="15">
        <f>IFERROR(PayGapsForMalesInRacialEthnicGroupsByOccupationalSeries[[#This Row],[Other Male Employees]]/U$318,"")</f>
        <v>3.8703684590773043E-3</v>
      </c>
      <c r="U219" s="16">
        <v>75</v>
      </c>
      <c r="V219" s="17">
        <v>74070.826666666995</v>
      </c>
      <c r="W219" s="18">
        <f>IFERROR(PayGapsForMalesInRacialEthnicGroupsByOccupationalSeries[[#This Row],[Other Male Avg Salary]]/PayGapsForMalesInRacialEthnicGroupsByOccupationalSeries[[#This Row],[White Male Average Salary]],"")</f>
        <v>0.96664721933204079</v>
      </c>
    </row>
    <row r="220" spans="1:23" ht="15.6" x14ac:dyDescent="0.3">
      <c r="A220" s="4" t="s">
        <v>229</v>
      </c>
      <c r="B220" s="25">
        <v>478</v>
      </c>
      <c r="C220" s="26">
        <v>154984.73894736799</v>
      </c>
      <c r="D220" s="15" t="str">
        <f>IFERROR(PayGapsForMalesInRacialEthnicGroupsByOccupationalSeries[[#This Row],[AIAN Male Employees]]/E$318,"")</f>
        <v/>
      </c>
      <c r="E220" s="16" t="s">
        <v>0</v>
      </c>
      <c r="F220" s="17" t="s">
        <v>0</v>
      </c>
      <c r="G220" s="18" t="s">
        <v>0</v>
      </c>
      <c r="H220" s="15">
        <f>IFERROR(PayGapsForMalesInRacialEthnicGroupsByOccupationalSeries[[#This Row],[ANHPI Male Employees]]/I$318,"")</f>
        <v>1.3626453488372093E-3</v>
      </c>
      <c r="I220" s="16">
        <v>90</v>
      </c>
      <c r="J220" s="17">
        <v>180239.04444444401</v>
      </c>
      <c r="K220" s="18">
        <f>PayGapsForMalesInRacialEthnicGroupsByOccupationalSeries[[#This Row],[ANHPI Male Avg Salary]]/PayGapsForMalesInRacialEthnicGroupsByOccupationalSeries[[#This Row],[White Male Average Salary]]</f>
        <v>1.1629470467131104</v>
      </c>
      <c r="L220" s="15">
        <f>IFERROR(PayGapsForMalesInRacialEthnicGroupsByOccupationalSeries[[#This Row],[Black Male Employees]]/M$318,"")</f>
        <v>8.319001719793625E-4</v>
      </c>
      <c r="M220" s="16">
        <v>104</v>
      </c>
      <c r="N220" s="17">
        <v>128940.106796117</v>
      </c>
      <c r="O220" s="18">
        <f>IFERROR(PayGapsForMalesInRacialEthnicGroupsByOccupationalSeries[[#This Row],[Black Male Avg Salary]]/PayGapsForMalesInRacialEthnicGroupsByOccupationalSeries[[#This Row],[White Male Average Salary]],"")</f>
        <v>0.83195356956986832</v>
      </c>
      <c r="P220" s="15" t="str">
        <f>IFERROR(PayGapsForMalesInRacialEthnicGroupsByOccupationalSeries[[#This Row],[Hispanic Latino Male Employees]]/Q$318,"")</f>
        <v/>
      </c>
      <c r="Q220" s="16" t="s">
        <v>0</v>
      </c>
      <c r="R220" s="17" t="s">
        <v>0</v>
      </c>
      <c r="S22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20" s="15" t="str">
        <f>IFERROR(PayGapsForMalesInRacialEthnicGroupsByOccupationalSeries[[#This Row],[Other Male Employees]]/U$318,"")</f>
        <v/>
      </c>
      <c r="U220" s="16" t="s">
        <v>0</v>
      </c>
      <c r="V220" s="17" t="s">
        <v>0</v>
      </c>
      <c r="W22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21" spans="1:23" ht="15.6" x14ac:dyDescent="0.3">
      <c r="A221" s="4" t="s">
        <v>230</v>
      </c>
      <c r="B221" s="25">
        <v>1173</v>
      </c>
      <c r="C221" s="26">
        <v>90870.654436860001</v>
      </c>
      <c r="D221" s="15" t="str">
        <f>IFERROR(PayGapsForMalesInRacialEthnicGroupsByOccupationalSeries[[#This Row],[AIAN Male Employees]]/E$318,"")</f>
        <v/>
      </c>
      <c r="E221" s="16" t="s">
        <v>0</v>
      </c>
      <c r="F221" s="17" t="s">
        <v>0</v>
      </c>
      <c r="G221" s="18" t="s">
        <v>0</v>
      </c>
      <c r="H221" s="15">
        <f>IFERROR(PayGapsForMalesInRacialEthnicGroupsByOccupationalSeries[[#This Row],[ANHPI Male Employees]]/I$318,"")</f>
        <v>6.3590116279069772E-4</v>
      </c>
      <c r="I221" s="16">
        <v>42</v>
      </c>
      <c r="J221" s="17">
        <v>95349.928571429002</v>
      </c>
      <c r="K221" s="18">
        <f>PayGapsForMalesInRacialEthnicGroupsByOccupationalSeries[[#This Row],[ANHPI Male Avg Salary]]/PayGapsForMalesInRacialEthnicGroupsByOccupationalSeries[[#This Row],[White Male Average Salary]]</f>
        <v>1.0492928565588944</v>
      </c>
      <c r="L221" s="15">
        <f>IFERROR(PayGapsForMalesInRacialEthnicGroupsByOccupationalSeries[[#This Row],[Black Male Employees]]/M$318,"")</f>
        <v>1.535815702115746E-3</v>
      </c>
      <c r="M221" s="16">
        <v>192</v>
      </c>
      <c r="N221" s="17">
        <v>90049.677083332994</v>
      </c>
      <c r="O221" s="18">
        <f>IFERROR(PayGapsForMalesInRacialEthnicGroupsByOccupationalSeries[[#This Row],[Black Male Avg Salary]]/PayGapsForMalesInRacialEthnicGroupsByOccupationalSeries[[#This Row],[White Male Average Salary]],"")</f>
        <v>0.99096542928391196</v>
      </c>
      <c r="P221" s="15">
        <f>IFERROR(PayGapsForMalesInRacialEthnicGroupsByOccupationalSeries[[#This Row],[Hispanic Latino Male Employees]]/Q$318,"")</f>
        <v>1.0875862699856683E-3</v>
      </c>
      <c r="Q221" s="16">
        <v>107</v>
      </c>
      <c r="R221" s="17">
        <v>92029.766355140004</v>
      </c>
      <c r="S221" s="18">
        <f>IFERROR(PayGapsForMalesInRacialEthnicGroupsByOccupationalSeries[[#This Row],[Hispanic Latino Male Avg Salary]]/PayGapsForMalesInRacialEthnicGroupsByOccupationalSeries[[#This Row],[White Male Average Salary]],"")</f>
        <v>1.0127556241942264</v>
      </c>
      <c r="T221" s="15" t="str">
        <f>IFERROR(PayGapsForMalesInRacialEthnicGroupsByOccupationalSeries[[#This Row],[Other Male Employees]]/U$318,"")</f>
        <v/>
      </c>
      <c r="U221" s="16" t="s">
        <v>0</v>
      </c>
      <c r="V221" s="17" t="s">
        <v>0</v>
      </c>
      <c r="W22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22" spans="1:23" ht="15.6" x14ac:dyDescent="0.3">
      <c r="A222" s="4" t="s">
        <v>231</v>
      </c>
      <c r="B222" s="25">
        <v>754</v>
      </c>
      <c r="C222" s="26">
        <v>95508.484084880998</v>
      </c>
      <c r="D222" s="15" t="str">
        <f>IFERROR(PayGapsForMalesInRacialEthnicGroupsByOccupationalSeries[[#This Row],[AIAN Male Employees]]/E$318,"")</f>
        <v/>
      </c>
      <c r="E222" s="16" t="s">
        <v>0</v>
      </c>
      <c r="F222" s="17" t="s">
        <v>0</v>
      </c>
      <c r="G222" s="18" t="s">
        <v>0</v>
      </c>
      <c r="H222" s="15">
        <f>IFERROR(PayGapsForMalesInRacialEthnicGroupsByOccupationalSeries[[#This Row],[ANHPI Male Employees]]/I$318,"")</f>
        <v>1.2566618217054264E-3</v>
      </c>
      <c r="I222" s="16">
        <v>83</v>
      </c>
      <c r="J222" s="17">
        <v>87360.168674699002</v>
      </c>
      <c r="K222" s="18">
        <f>PayGapsForMalesInRacialEthnicGroupsByOccupationalSeries[[#This Row],[ANHPI Male Avg Salary]]/PayGapsForMalesInRacialEthnicGroupsByOccupationalSeries[[#This Row],[White Male Average Salary]]</f>
        <v>0.9146849048201795</v>
      </c>
      <c r="L222" s="15">
        <f>IFERROR(PayGapsForMalesInRacialEthnicGroupsByOccupationalSeries[[#This Row],[Black Male Employees]]/M$318,"")</f>
        <v>1.6158061032676078E-3</v>
      </c>
      <c r="M222" s="16">
        <v>202</v>
      </c>
      <c r="N222" s="17">
        <v>87806.089108910994</v>
      </c>
      <c r="O222" s="18">
        <f>IFERROR(PayGapsForMalesInRacialEthnicGroupsByOccupationalSeries[[#This Row],[Black Male Avg Salary]]/PayGapsForMalesInRacialEthnicGroupsByOccupationalSeries[[#This Row],[White Male Average Salary]],"")</f>
        <v>0.91935381395934757</v>
      </c>
      <c r="P222" s="15">
        <f>IFERROR(PayGapsForMalesInRacialEthnicGroupsByOccupationalSeries[[#This Row],[Hispanic Latino Male Employees]]/Q$318,"")</f>
        <v>2.0633646056737445E-3</v>
      </c>
      <c r="Q222" s="16">
        <v>203</v>
      </c>
      <c r="R222" s="17">
        <v>83249.733990148001</v>
      </c>
      <c r="S222" s="18">
        <f>IFERROR(PayGapsForMalesInRacialEthnicGroupsByOccupationalSeries[[#This Row],[Hispanic Latino Male Avg Salary]]/PayGapsForMalesInRacialEthnicGroupsByOccupationalSeries[[#This Row],[White Male Average Salary]],"")</f>
        <v>0.87164752731455453</v>
      </c>
      <c r="T222" s="15" t="str">
        <f>IFERROR(PayGapsForMalesInRacialEthnicGroupsByOccupationalSeries[[#This Row],[Other Male Employees]]/U$318,"")</f>
        <v/>
      </c>
      <c r="U222" s="16" t="s">
        <v>0</v>
      </c>
      <c r="V222" s="17" t="s">
        <v>0</v>
      </c>
      <c r="W22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23" spans="1:23" ht="15.6" x14ac:dyDescent="0.3">
      <c r="A223" s="4" t="s">
        <v>232</v>
      </c>
      <c r="B223" s="25">
        <v>1138</v>
      </c>
      <c r="C223" s="26">
        <v>98503.922671352993</v>
      </c>
      <c r="D223" s="15">
        <f>IFERROR(PayGapsForMalesInRacialEthnicGroupsByOccupationalSeries[[#This Row],[AIAN Male Employees]]/E$318,"")</f>
        <v>7.6374745417515273E-3</v>
      </c>
      <c r="E223" s="16">
        <v>75</v>
      </c>
      <c r="F223" s="17">
        <v>84692.986666666999</v>
      </c>
      <c r="G223" s="18">
        <f>PayGapsForMalesInRacialEthnicGroupsByOccupationalSeries[[#This Row],[AIAN Male Avg Salary]]/PayGapsForMalesInRacialEthnicGroupsByOccupationalSeries[[#This Row],[White Male Average Salary]]</f>
        <v>0.85979303534170315</v>
      </c>
      <c r="H223" s="15">
        <f>IFERROR(PayGapsForMalesInRacialEthnicGroupsByOccupationalSeries[[#This Row],[ANHPI Male Employees]]/I$318,"")</f>
        <v>7.116036821705426E-4</v>
      </c>
      <c r="I223" s="16">
        <v>47</v>
      </c>
      <c r="J223" s="17">
        <v>97338.659574467994</v>
      </c>
      <c r="K223" s="18">
        <f>PayGapsForMalesInRacialEthnicGroupsByOccupationalSeries[[#This Row],[ANHPI Male Avg Salary]]/PayGapsForMalesInRacialEthnicGroupsByOccupationalSeries[[#This Row],[White Male Average Salary]]</f>
        <v>0.98817038890143727</v>
      </c>
      <c r="L223" s="15">
        <f>IFERROR(PayGapsForMalesInRacialEthnicGroupsByOccupationalSeries[[#This Row],[Black Male Employees]]/M$318,"")</f>
        <v>1.7597888253409592E-3</v>
      </c>
      <c r="M223" s="16">
        <v>220</v>
      </c>
      <c r="N223" s="17">
        <v>100146.91818181799</v>
      </c>
      <c r="O223" s="18">
        <f>IFERROR(PayGapsForMalesInRacialEthnicGroupsByOccupationalSeries[[#This Row],[Black Male Avg Salary]]/PayGapsForMalesInRacialEthnicGroupsByOccupationalSeries[[#This Row],[White Male Average Salary]],"")</f>
        <v>1.0166794932212666</v>
      </c>
      <c r="P223" s="15">
        <f>IFERROR(PayGapsForMalesInRacialEthnicGroupsByOccupationalSeries[[#This Row],[Hispanic Latino Male Employees]]/Q$318,"")</f>
        <v>1.301037780917435E-3</v>
      </c>
      <c r="Q223" s="16">
        <v>128</v>
      </c>
      <c r="R223" s="17">
        <v>91844.9921875</v>
      </c>
      <c r="S223" s="18">
        <f>IFERROR(PayGapsForMalesInRacialEthnicGroupsByOccupationalSeries[[#This Row],[Hispanic Latino Male Avg Salary]]/PayGapsForMalesInRacialEthnicGroupsByOccupationalSeries[[#This Row],[White Male Average Salary]],"")</f>
        <v>0.93239933696783073</v>
      </c>
      <c r="T223" s="15">
        <f>IFERROR(PayGapsForMalesInRacialEthnicGroupsByOccupationalSeries[[#This Row],[Other Male Employees]]/U$318,"")</f>
        <v>2.5286407265971722E-3</v>
      </c>
      <c r="U223" s="16">
        <v>49</v>
      </c>
      <c r="V223" s="17">
        <v>95176.183673469</v>
      </c>
      <c r="W223" s="18">
        <f>IFERROR(PayGapsForMalesInRacialEthnicGroupsByOccupationalSeries[[#This Row],[Other Male Avg Salary]]/PayGapsForMalesInRacialEthnicGroupsByOccupationalSeries[[#This Row],[White Male Average Salary]],"")</f>
        <v>0.96621719310624199</v>
      </c>
    </row>
    <row r="224" spans="1:23" ht="15.6" x14ac:dyDescent="0.3">
      <c r="A224" s="4" t="s">
        <v>233</v>
      </c>
      <c r="B224" s="25">
        <v>369</v>
      </c>
      <c r="C224" s="26">
        <v>117435.84823848199</v>
      </c>
      <c r="D224" s="15" t="str">
        <f>IFERROR(PayGapsForMalesInRacialEthnicGroupsByOccupationalSeries[[#This Row],[AIAN Male Employees]]/E$318,"")</f>
        <v/>
      </c>
      <c r="E224" s="16" t="s">
        <v>0</v>
      </c>
      <c r="F224" s="17" t="s">
        <v>0</v>
      </c>
      <c r="G224" s="18" t="s">
        <v>0</v>
      </c>
      <c r="H224" s="15" t="str">
        <f>IFERROR(PayGapsForMalesInRacialEthnicGroupsByOccupationalSeries[[#This Row],[ANHPI Male Employees]]/I$318,"")</f>
        <v/>
      </c>
      <c r="I224" s="16" t="s">
        <v>0</v>
      </c>
      <c r="J224" s="17" t="s">
        <v>0</v>
      </c>
      <c r="K224" s="18" t="s">
        <v>0</v>
      </c>
      <c r="L224" s="15" t="str">
        <f>IFERROR(PayGapsForMalesInRacialEthnicGroupsByOccupationalSeries[[#This Row],[Black Male Employees]]/M$318,"")</f>
        <v/>
      </c>
      <c r="M224" s="16" t="s">
        <v>0</v>
      </c>
      <c r="N224" s="17" t="s">
        <v>0</v>
      </c>
      <c r="O224" s="18" t="str">
        <f>IFERROR(PayGapsForMalesInRacialEthnicGroupsByOccupationalSeries[[#This Row],[Black Male Avg Salary]]/PayGapsForMalesInRacialEthnicGroupsByOccupationalSeries[[#This Row],[White Male Average Salary]],"")</f>
        <v/>
      </c>
      <c r="P224" s="15" t="str">
        <f>IFERROR(PayGapsForMalesInRacialEthnicGroupsByOccupationalSeries[[#This Row],[Hispanic Latino Male Employees]]/Q$318,"")</f>
        <v/>
      </c>
      <c r="Q224" s="16" t="s">
        <v>0</v>
      </c>
      <c r="R224" s="17" t="s">
        <v>0</v>
      </c>
      <c r="S22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24" s="15" t="str">
        <f>IFERROR(PayGapsForMalesInRacialEthnicGroupsByOccupationalSeries[[#This Row],[Other Male Employees]]/U$318,"")</f>
        <v/>
      </c>
      <c r="U224" s="16" t="s">
        <v>0</v>
      </c>
      <c r="V224" s="17" t="s">
        <v>0</v>
      </c>
      <c r="W22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25" spans="1:23" ht="15.6" x14ac:dyDescent="0.3">
      <c r="A225" s="4" t="s">
        <v>234</v>
      </c>
      <c r="B225" s="25">
        <v>447</v>
      </c>
      <c r="C225" s="26">
        <v>74910</v>
      </c>
      <c r="D225" s="15" t="str">
        <f>IFERROR(PayGapsForMalesInRacialEthnicGroupsByOccupationalSeries[[#This Row],[AIAN Male Employees]]/E$318,"")</f>
        <v/>
      </c>
      <c r="E225" s="16" t="s">
        <v>0</v>
      </c>
      <c r="F225" s="17" t="s">
        <v>0</v>
      </c>
      <c r="G225" s="18" t="s">
        <v>0</v>
      </c>
      <c r="H225" s="15">
        <f>IFERROR(PayGapsForMalesInRacialEthnicGroupsByOccupationalSeries[[#This Row],[ANHPI Male Employees]]/I$318,"")</f>
        <v>1.9077034883720929E-3</v>
      </c>
      <c r="I225" s="16">
        <v>126</v>
      </c>
      <c r="J225" s="17">
        <v>64600.817460316997</v>
      </c>
      <c r="K225" s="18">
        <f>PayGapsForMalesInRacialEthnicGroupsByOccupationalSeries[[#This Row],[ANHPI Male Avg Salary]]/PayGapsForMalesInRacialEthnicGroupsByOccupationalSeries[[#This Row],[White Male Average Salary]]</f>
        <v>0.86237908770947802</v>
      </c>
      <c r="L225" s="15">
        <f>IFERROR(PayGapsForMalesInRacialEthnicGroupsByOccupationalSeries[[#This Row],[Black Male Employees]]/M$318,"")</f>
        <v>1.3598368195816503E-3</v>
      </c>
      <c r="M225" s="16">
        <v>170</v>
      </c>
      <c r="N225" s="17">
        <v>71688.464705881997</v>
      </c>
      <c r="O225" s="18">
        <f>IFERROR(PayGapsForMalesInRacialEthnicGroupsByOccupationalSeries[[#This Row],[Black Male Avg Salary]]/PayGapsForMalesInRacialEthnicGroupsByOccupationalSeries[[#This Row],[White Male Average Salary]],"")</f>
        <v>0.95699458958592976</v>
      </c>
      <c r="P225" s="15">
        <f>IFERROR(PayGapsForMalesInRacialEthnicGroupsByOccupationalSeries[[#This Row],[Hispanic Latino Male Employees]]/Q$318,"")</f>
        <v>1.0469288393319984E-3</v>
      </c>
      <c r="Q225" s="16">
        <v>103</v>
      </c>
      <c r="R225" s="17">
        <v>71638.757281553</v>
      </c>
      <c r="S225" s="18">
        <f>IFERROR(PayGapsForMalesInRacialEthnicGroupsByOccupationalSeries[[#This Row],[Hispanic Latino Male Avg Salary]]/PayGapsForMalesInRacialEthnicGroupsByOccupationalSeries[[#This Row],[White Male Average Salary]],"")</f>
        <v>0.95633102765389133</v>
      </c>
      <c r="T225" s="15" t="str">
        <f>IFERROR(PayGapsForMalesInRacialEthnicGroupsByOccupationalSeries[[#This Row],[Other Male Employees]]/U$318,"")</f>
        <v/>
      </c>
      <c r="U225" s="16" t="s">
        <v>0</v>
      </c>
      <c r="V225" s="17" t="s">
        <v>0</v>
      </c>
      <c r="W22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26" spans="1:23" ht="15.6" x14ac:dyDescent="0.3">
      <c r="A226" s="4" t="s">
        <v>235</v>
      </c>
      <c r="B226" s="25">
        <v>608</v>
      </c>
      <c r="C226" s="26">
        <v>102949.445723684</v>
      </c>
      <c r="D226" s="15" t="str">
        <f>IFERROR(PayGapsForMalesInRacialEthnicGroupsByOccupationalSeries[[#This Row],[AIAN Male Employees]]/E$318,"")</f>
        <v/>
      </c>
      <c r="E226" s="16" t="s">
        <v>0</v>
      </c>
      <c r="F226" s="17" t="s">
        <v>0</v>
      </c>
      <c r="G226" s="18" t="s">
        <v>0</v>
      </c>
      <c r="H226" s="15" t="str">
        <f>IFERROR(PayGapsForMalesInRacialEthnicGroupsByOccupationalSeries[[#This Row],[ANHPI Male Employees]]/I$318,"")</f>
        <v/>
      </c>
      <c r="I226" s="16" t="s">
        <v>0</v>
      </c>
      <c r="J226" s="17" t="s">
        <v>0</v>
      </c>
      <c r="K226" s="18" t="s">
        <v>0</v>
      </c>
      <c r="L226" s="15">
        <f>IFERROR(PayGapsForMalesInRacialEthnicGroupsByOccupationalSeries[[#This Row],[Black Male Employees]]/M$318,"")</f>
        <v>1.9437667479902411E-3</v>
      </c>
      <c r="M226" s="16">
        <v>243</v>
      </c>
      <c r="N226" s="17">
        <v>102190.288065844</v>
      </c>
      <c r="O226" s="18">
        <f>IFERROR(PayGapsForMalesInRacialEthnicGroupsByOccupationalSeries[[#This Row],[Black Male Avg Salary]]/PayGapsForMalesInRacialEthnicGroupsByOccupationalSeries[[#This Row],[White Male Average Salary]],"")</f>
        <v>0.99262591796873223</v>
      </c>
      <c r="P226" s="15">
        <f>IFERROR(PayGapsForMalesInRacialEthnicGroupsByOccupationalSeries[[#This Row],[Hispanic Latino Male Employees]]/Q$318,"")</f>
        <v>7.7249118241972693E-4</v>
      </c>
      <c r="Q226" s="16">
        <v>76</v>
      </c>
      <c r="R226" s="17">
        <v>95399.144736842005</v>
      </c>
      <c r="S226" s="18">
        <f>IFERROR(PayGapsForMalesInRacialEthnicGroupsByOccupationalSeries[[#This Row],[Hispanic Latino Male Avg Salary]]/PayGapsForMalesInRacialEthnicGroupsByOccupationalSeries[[#This Row],[White Male Average Salary]],"")</f>
        <v>0.92666011037002594</v>
      </c>
      <c r="T226" s="15" t="str">
        <f>IFERROR(PayGapsForMalesInRacialEthnicGroupsByOccupationalSeries[[#This Row],[Other Male Employees]]/U$318,"")</f>
        <v/>
      </c>
      <c r="U226" s="16" t="s">
        <v>0</v>
      </c>
      <c r="V226" s="17" t="s">
        <v>0</v>
      </c>
      <c r="W22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27" spans="1:23" ht="15.6" x14ac:dyDescent="0.3">
      <c r="A227" s="4" t="s">
        <v>236</v>
      </c>
      <c r="B227" s="25">
        <v>195</v>
      </c>
      <c r="C227" s="26">
        <v>174913.84615384601</v>
      </c>
      <c r="D227" s="15" t="str">
        <f>IFERROR(PayGapsForMalesInRacialEthnicGroupsByOccupationalSeries[[#This Row],[AIAN Male Employees]]/E$318,"")</f>
        <v/>
      </c>
      <c r="E227" s="16" t="s">
        <v>0</v>
      </c>
      <c r="F227" s="17" t="s">
        <v>0</v>
      </c>
      <c r="G227" s="18" t="s">
        <v>0</v>
      </c>
      <c r="H227" s="15" t="str">
        <f>IFERROR(PayGapsForMalesInRacialEthnicGroupsByOccupationalSeries[[#This Row],[ANHPI Male Employees]]/I$318,"")</f>
        <v/>
      </c>
      <c r="I227" s="16" t="s">
        <v>0</v>
      </c>
      <c r="J227" s="17" t="s">
        <v>0</v>
      </c>
      <c r="K227" s="18" t="s">
        <v>0</v>
      </c>
      <c r="L227" s="15" t="str">
        <f>IFERROR(PayGapsForMalesInRacialEthnicGroupsByOccupationalSeries[[#This Row],[Black Male Employees]]/M$318,"")</f>
        <v/>
      </c>
      <c r="M227" s="16" t="s">
        <v>0</v>
      </c>
      <c r="N227" s="17" t="s">
        <v>0</v>
      </c>
      <c r="O227" s="18" t="str">
        <f>IFERROR(PayGapsForMalesInRacialEthnicGroupsByOccupationalSeries[[#This Row],[Black Male Avg Salary]]/PayGapsForMalesInRacialEthnicGroupsByOccupationalSeries[[#This Row],[White Male Average Salary]],"")</f>
        <v/>
      </c>
      <c r="P227" s="15" t="str">
        <f>IFERROR(PayGapsForMalesInRacialEthnicGroupsByOccupationalSeries[[#This Row],[Hispanic Latino Male Employees]]/Q$318,"")</f>
        <v/>
      </c>
      <c r="Q227" s="16" t="s">
        <v>0</v>
      </c>
      <c r="R227" s="17" t="s">
        <v>0</v>
      </c>
      <c r="S22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27" s="15" t="str">
        <f>IFERROR(PayGapsForMalesInRacialEthnicGroupsByOccupationalSeries[[#This Row],[Other Male Employees]]/U$318,"")</f>
        <v/>
      </c>
      <c r="U227" s="16" t="s">
        <v>0</v>
      </c>
      <c r="V227" s="17" t="s">
        <v>0</v>
      </c>
      <c r="W22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28" spans="1:23" ht="15.6" x14ac:dyDescent="0.3">
      <c r="A228" s="4" t="s">
        <v>237</v>
      </c>
      <c r="B228" s="25">
        <v>256</v>
      </c>
      <c r="C228" s="26">
        <v>176384.4375</v>
      </c>
      <c r="D228" s="15" t="str">
        <f>IFERROR(PayGapsForMalesInRacialEthnicGroupsByOccupationalSeries[[#This Row],[AIAN Male Employees]]/E$318,"")</f>
        <v/>
      </c>
      <c r="E228" s="16" t="s">
        <v>0</v>
      </c>
      <c r="F228" s="17" t="s">
        <v>0</v>
      </c>
      <c r="G228" s="18" t="s">
        <v>0</v>
      </c>
      <c r="H228" s="15" t="str">
        <f>IFERROR(PayGapsForMalesInRacialEthnicGroupsByOccupationalSeries[[#This Row],[ANHPI Male Employees]]/I$318,"")</f>
        <v/>
      </c>
      <c r="I228" s="16" t="s">
        <v>0</v>
      </c>
      <c r="J228" s="17" t="s">
        <v>0</v>
      </c>
      <c r="K228" s="18" t="s">
        <v>0</v>
      </c>
      <c r="L228" s="15" t="str">
        <f>IFERROR(PayGapsForMalesInRacialEthnicGroupsByOccupationalSeries[[#This Row],[Black Male Employees]]/M$318,"")</f>
        <v/>
      </c>
      <c r="M228" s="16" t="s">
        <v>0</v>
      </c>
      <c r="N228" s="17" t="s">
        <v>0</v>
      </c>
      <c r="O228" s="18" t="str">
        <f>IFERROR(PayGapsForMalesInRacialEthnicGroupsByOccupationalSeries[[#This Row],[Black Male Avg Salary]]/PayGapsForMalesInRacialEthnicGroupsByOccupationalSeries[[#This Row],[White Male Average Salary]],"")</f>
        <v/>
      </c>
      <c r="P228" s="15" t="str">
        <f>IFERROR(PayGapsForMalesInRacialEthnicGroupsByOccupationalSeries[[#This Row],[Hispanic Latino Male Employees]]/Q$318,"")</f>
        <v/>
      </c>
      <c r="Q228" s="16" t="s">
        <v>0</v>
      </c>
      <c r="R228" s="17" t="s">
        <v>0</v>
      </c>
      <c r="S22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28" s="15" t="str">
        <f>IFERROR(PayGapsForMalesInRacialEthnicGroupsByOccupationalSeries[[#This Row],[Other Male Employees]]/U$318,"")</f>
        <v/>
      </c>
      <c r="U228" s="16" t="s">
        <v>0</v>
      </c>
      <c r="V228" s="17" t="s">
        <v>0</v>
      </c>
      <c r="W22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29" spans="1:23" ht="15.6" x14ac:dyDescent="0.3">
      <c r="A229" s="4" t="s">
        <v>238</v>
      </c>
      <c r="B229" s="25">
        <v>2906</v>
      </c>
      <c r="C229" s="26">
        <v>136646.73262216101</v>
      </c>
      <c r="D229" s="15" t="str">
        <f>IFERROR(PayGapsForMalesInRacialEthnicGroupsByOccupationalSeries[[#This Row],[AIAN Male Employees]]/E$318,"")</f>
        <v/>
      </c>
      <c r="E229" s="16" t="s">
        <v>0</v>
      </c>
      <c r="F229" s="17" t="s">
        <v>0</v>
      </c>
      <c r="G229" s="18" t="s">
        <v>0</v>
      </c>
      <c r="H229" s="15">
        <f>IFERROR(PayGapsForMalesInRacialEthnicGroupsByOccupationalSeries[[#This Row],[ANHPI Male Employees]]/I$318,"")</f>
        <v>3.109859496124031E-2</v>
      </c>
      <c r="I229" s="16">
        <v>2054</v>
      </c>
      <c r="J229" s="17">
        <v>139125.90895812999</v>
      </c>
      <c r="K229" s="18">
        <f>PayGapsForMalesInRacialEthnicGroupsByOccupationalSeries[[#This Row],[ANHPI Male Avg Salary]]/PayGapsForMalesInRacialEthnicGroupsByOccupationalSeries[[#This Row],[White Male Average Salary]]</f>
        <v>1.0181429609650756</v>
      </c>
      <c r="L229" s="15">
        <f>IFERROR(PayGapsForMalesInRacialEthnicGroupsByOccupationalSeries[[#This Row],[Black Male Employees]]/M$318,"")</f>
        <v>5.3273607167139943E-3</v>
      </c>
      <c r="M229" s="16">
        <v>666</v>
      </c>
      <c r="N229" s="17">
        <v>138161.605105105</v>
      </c>
      <c r="O229" s="18">
        <f>IFERROR(PayGapsForMalesInRacialEthnicGroupsByOccupationalSeries[[#This Row],[Black Male Avg Salary]]/PayGapsForMalesInRacialEthnicGroupsByOccupationalSeries[[#This Row],[White Male Average Salary]],"")</f>
        <v>1.0110860498006398</v>
      </c>
      <c r="P229" s="15">
        <f>IFERROR(PayGapsForMalesInRacialEthnicGroupsByOccupationalSeries[[#This Row],[Hispanic Latino Male Employees]]/Q$318,"")</f>
        <v>3.0391429413618208E-3</v>
      </c>
      <c r="Q229" s="16">
        <v>299</v>
      </c>
      <c r="R229" s="17">
        <v>127439.317725753</v>
      </c>
      <c r="S229" s="18">
        <f>IFERROR(PayGapsForMalesInRacialEthnicGroupsByOccupationalSeries[[#This Row],[Hispanic Latino Male Avg Salary]]/PayGapsForMalesInRacialEthnicGroupsByOccupationalSeries[[#This Row],[White Male Average Salary]],"")</f>
        <v>0.93261884335085243</v>
      </c>
      <c r="T229" s="15">
        <f>IFERROR(PayGapsForMalesInRacialEthnicGroupsByOccupationalSeries[[#This Row],[Other Male Employees]]/U$318,"")</f>
        <v>4.696047063680462E-3</v>
      </c>
      <c r="U229" s="16">
        <v>91</v>
      </c>
      <c r="V229" s="17">
        <v>116560.087912088</v>
      </c>
      <c r="W229" s="18">
        <f>IFERROR(PayGapsForMalesInRacialEthnicGroupsByOccupationalSeries[[#This Row],[Other Male Avg Salary]]/PayGapsForMalesInRacialEthnicGroupsByOccupationalSeries[[#This Row],[White Male Average Salary]],"")</f>
        <v>0.85300311010279206</v>
      </c>
    </row>
    <row r="230" spans="1:23" ht="15.6" x14ac:dyDescent="0.3">
      <c r="A230" s="4" t="s">
        <v>239</v>
      </c>
      <c r="B230" s="25">
        <v>66</v>
      </c>
      <c r="C230" s="26">
        <v>111866.060606061</v>
      </c>
      <c r="D230" s="15" t="str">
        <f>IFERROR(PayGapsForMalesInRacialEthnicGroupsByOccupationalSeries[[#This Row],[AIAN Male Employees]]/E$318,"")</f>
        <v/>
      </c>
      <c r="E230" s="16" t="s">
        <v>0</v>
      </c>
      <c r="F230" s="17" t="s">
        <v>0</v>
      </c>
      <c r="G230" s="18" t="s">
        <v>0</v>
      </c>
      <c r="H230" s="15" t="str">
        <f>IFERROR(PayGapsForMalesInRacialEthnicGroupsByOccupationalSeries[[#This Row],[ANHPI Male Employees]]/I$318,"")</f>
        <v/>
      </c>
      <c r="I230" s="16" t="s">
        <v>0</v>
      </c>
      <c r="J230" s="17" t="s">
        <v>0</v>
      </c>
      <c r="K230" s="18" t="s">
        <v>0</v>
      </c>
      <c r="L230" s="15" t="str">
        <f>IFERROR(PayGapsForMalesInRacialEthnicGroupsByOccupationalSeries[[#This Row],[Black Male Employees]]/M$318,"")</f>
        <v/>
      </c>
      <c r="M230" s="16" t="s">
        <v>0</v>
      </c>
      <c r="N230" s="17" t="s">
        <v>0</v>
      </c>
      <c r="O230" s="18" t="str">
        <f>IFERROR(PayGapsForMalesInRacialEthnicGroupsByOccupationalSeries[[#This Row],[Black Male Avg Salary]]/PayGapsForMalesInRacialEthnicGroupsByOccupationalSeries[[#This Row],[White Male Average Salary]],"")</f>
        <v/>
      </c>
      <c r="P230" s="15" t="str">
        <f>IFERROR(PayGapsForMalesInRacialEthnicGroupsByOccupationalSeries[[#This Row],[Hispanic Latino Male Employees]]/Q$318,"")</f>
        <v/>
      </c>
      <c r="Q230" s="16" t="s">
        <v>0</v>
      </c>
      <c r="R230" s="17" t="s">
        <v>0</v>
      </c>
      <c r="S23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30" s="15" t="str">
        <f>IFERROR(PayGapsForMalesInRacialEthnicGroupsByOccupationalSeries[[#This Row],[Other Male Employees]]/U$318,"")</f>
        <v/>
      </c>
      <c r="U230" s="16" t="s">
        <v>0</v>
      </c>
      <c r="V230" s="17" t="s">
        <v>0</v>
      </c>
      <c r="W23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31" spans="1:23" ht="15.6" x14ac:dyDescent="0.3">
      <c r="A231" s="4" t="s">
        <v>240</v>
      </c>
      <c r="B231" s="25">
        <v>4165</v>
      </c>
      <c r="C231" s="26">
        <v>130257.743035543</v>
      </c>
      <c r="D231" s="15" t="str">
        <f>IFERROR(PayGapsForMalesInRacialEthnicGroupsByOccupationalSeries[[#This Row],[AIAN Male Employees]]/E$318,"")</f>
        <v/>
      </c>
      <c r="E231" s="16" t="s">
        <v>0</v>
      </c>
      <c r="F231" s="17" t="s">
        <v>0</v>
      </c>
      <c r="G231" s="18" t="s">
        <v>0</v>
      </c>
      <c r="H231" s="15">
        <f>IFERROR(PayGapsForMalesInRacialEthnicGroupsByOccupationalSeries[[#This Row],[ANHPI Male Employees]]/I$318,"")</f>
        <v>4.9358042635658916E-3</v>
      </c>
      <c r="I231" s="16">
        <v>326</v>
      </c>
      <c r="J231" s="17">
        <v>138945.377300614</v>
      </c>
      <c r="K231" s="18">
        <f>PayGapsForMalesInRacialEthnicGroupsByOccupationalSeries[[#This Row],[ANHPI Male Avg Salary]]/PayGapsForMalesInRacialEthnicGroupsByOccupationalSeries[[#This Row],[White Male Average Salary]]</f>
        <v>1.0666957223625504</v>
      </c>
      <c r="L231" s="15">
        <f>IFERROR(PayGapsForMalesInRacialEthnicGroupsByOccupationalSeries[[#This Row],[Black Male Employees]]/M$318,"")</f>
        <v>1.6318041834979802E-3</v>
      </c>
      <c r="M231" s="16">
        <v>204</v>
      </c>
      <c r="N231" s="17">
        <v>122098.45098039199</v>
      </c>
      <c r="O231" s="18">
        <f>IFERROR(PayGapsForMalesInRacialEthnicGroupsByOccupationalSeries[[#This Row],[Black Male Avg Salary]]/PayGapsForMalesInRacialEthnicGroupsByOccupationalSeries[[#This Row],[White Male Average Salary]],"")</f>
        <v>0.93736040664450482</v>
      </c>
      <c r="P231" s="15">
        <f>IFERROR(PayGapsForMalesInRacialEthnicGroupsByOccupationalSeries[[#This Row],[Hispanic Latino Male Employees]]/Q$318,"")</f>
        <v>2.3581309779128509E-3</v>
      </c>
      <c r="Q231" s="16">
        <v>232</v>
      </c>
      <c r="R231" s="17">
        <v>121339.875</v>
      </c>
      <c r="S231" s="18">
        <f>IFERROR(PayGapsForMalesInRacialEthnicGroupsByOccupationalSeries[[#This Row],[Hispanic Latino Male Avg Salary]]/PayGapsForMalesInRacialEthnicGroupsByOccupationalSeries[[#This Row],[White Male Average Salary]],"")</f>
        <v>0.93153675299663674</v>
      </c>
      <c r="T231" s="15">
        <f>IFERROR(PayGapsForMalesInRacialEthnicGroupsByOccupationalSeries[[#This Row],[Other Male Employees]]/U$318,"")</f>
        <v>3.9735782846526992E-3</v>
      </c>
      <c r="U231" s="16">
        <v>77</v>
      </c>
      <c r="V231" s="17">
        <v>119230.922077922</v>
      </c>
      <c r="W231" s="18">
        <f>IFERROR(PayGapsForMalesInRacialEthnicGroupsByOccupationalSeries[[#This Row],[Other Male Avg Salary]]/PayGapsForMalesInRacialEthnicGroupsByOccupationalSeries[[#This Row],[White Male Average Salary]],"")</f>
        <v>0.91534613835116008</v>
      </c>
    </row>
    <row r="232" spans="1:23" ht="15.6" x14ac:dyDescent="0.3">
      <c r="A232" s="4" t="s">
        <v>241</v>
      </c>
      <c r="B232" s="25">
        <v>477</v>
      </c>
      <c r="C232" s="26">
        <v>118878.733752621</v>
      </c>
      <c r="D232" s="15" t="str">
        <f>IFERROR(PayGapsForMalesInRacialEthnicGroupsByOccupationalSeries[[#This Row],[AIAN Male Employees]]/E$318,"")</f>
        <v/>
      </c>
      <c r="E232" s="16" t="s">
        <v>0</v>
      </c>
      <c r="F232" s="17" t="s">
        <v>0</v>
      </c>
      <c r="G232" s="18" t="s">
        <v>0</v>
      </c>
      <c r="H232" s="15" t="str">
        <f>IFERROR(PayGapsForMalesInRacialEthnicGroupsByOccupationalSeries[[#This Row],[ANHPI Male Employees]]/I$318,"")</f>
        <v/>
      </c>
      <c r="I232" s="16" t="s">
        <v>0</v>
      </c>
      <c r="J232" s="17" t="s">
        <v>0</v>
      </c>
      <c r="K232" s="18" t="s">
        <v>0</v>
      </c>
      <c r="L232" s="15" t="str">
        <f>IFERROR(PayGapsForMalesInRacialEthnicGroupsByOccupationalSeries[[#This Row],[Black Male Employees]]/M$318,"")</f>
        <v/>
      </c>
      <c r="M232" s="16" t="s">
        <v>0</v>
      </c>
      <c r="N232" s="17" t="s">
        <v>0</v>
      </c>
      <c r="O232" s="18" t="str">
        <f>IFERROR(PayGapsForMalesInRacialEthnicGroupsByOccupationalSeries[[#This Row],[Black Male Avg Salary]]/PayGapsForMalesInRacialEthnicGroupsByOccupationalSeries[[#This Row],[White Male Average Salary]],"")</f>
        <v/>
      </c>
      <c r="P232" s="15" t="str">
        <f>IFERROR(PayGapsForMalesInRacialEthnicGroupsByOccupationalSeries[[#This Row],[Hispanic Latino Male Employees]]/Q$318,"")</f>
        <v/>
      </c>
      <c r="Q232" s="16" t="s">
        <v>0</v>
      </c>
      <c r="R232" s="17" t="s">
        <v>0</v>
      </c>
      <c r="S23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32" s="15" t="str">
        <f>IFERROR(PayGapsForMalesInRacialEthnicGroupsByOccupationalSeries[[#This Row],[Other Male Employees]]/U$318,"")</f>
        <v/>
      </c>
      <c r="U232" s="16" t="s">
        <v>0</v>
      </c>
      <c r="V232" s="17" t="s">
        <v>0</v>
      </c>
      <c r="W23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33" spans="1:23" ht="15.6" x14ac:dyDescent="0.3">
      <c r="A233" s="4" t="s">
        <v>242</v>
      </c>
      <c r="B233" s="25">
        <v>1526</v>
      </c>
      <c r="C233" s="26">
        <v>140628.415465269</v>
      </c>
      <c r="D233" s="15" t="str">
        <f>IFERROR(PayGapsForMalesInRacialEthnicGroupsByOccupationalSeries[[#This Row],[AIAN Male Employees]]/E$318,"")</f>
        <v/>
      </c>
      <c r="E233" s="16" t="s">
        <v>0</v>
      </c>
      <c r="F233" s="17" t="s">
        <v>0</v>
      </c>
      <c r="G233" s="18" t="s">
        <v>0</v>
      </c>
      <c r="H233" s="15">
        <f>IFERROR(PayGapsForMalesInRacialEthnicGroupsByOccupationalSeries[[#This Row],[ANHPI Male Employees]]/I$318,"")</f>
        <v>1.8471414728682171E-3</v>
      </c>
      <c r="I233" s="16">
        <v>122</v>
      </c>
      <c r="J233" s="17">
        <v>147053.008196721</v>
      </c>
      <c r="K233" s="18">
        <f>PayGapsForMalesInRacialEthnicGroupsByOccupationalSeries[[#This Row],[ANHPI Male Avg Salary]]/PayGapsForMalesInRacialEthnicGroupsByOccupationalSeries[[#This Row],[White Male Average Salary]]</f>
        <v>1.0456848831738326</v>
      </c>
      <c r="L233" s="15" t="str">
        <f>IFERROR(PayGapsForMalesInRacialEthnicGroupsByOccupationalSeries[[#This Row],[Black Male Employees]]/M$318,"")</f>
        <v/>
      </c>
      <c r="M233" s="16" t="s">
        <v>0</v>
      </c>
      <c r="N233" s="17" t="s">
        <v>0</v>
      </c>
      <c r="O233" s="18" t="str">
        <f>IFERROR(PayGapsForMalesInRacialEthnicGroupsByOccupationalSeries[[#This Row],[Black Male Avg Salary]]/PayGapsForMalesInRacialEthnicGroupsByOccupationalSeries[[#This Row],[White Male Average Salary]],"")</f>
        <v/>
      </c>
      <c r="P233" s="15" t="str">
        <f>IFERROR(PayGapsForMalesInRacialEthnicGroupsByOccupationalSeries[[#This Row],[Hispanic Latino Male Employees]]/Q$318,"")</f>
        <v/>
      </c>
      <c r="Q233" s="16" t="s">
        <v>0</v>
      </c>
      <c r="R233" s="17" t="s">
        <v>0</v>
      </c>
      <c r="S23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33" s="15" t="str">
        <f>IFERROR(PayGapsForMalesInRacialEthnicGroupsByOccupationalSeries[[#This Row],[Other Male Employees]]/U$318,"")</f>
        <v/>
      </c>
      <c r="U233" s="16" t="s">
        <v>0</v>
      </c>
      <c r="V233" s="17" t="s">
        <v>0</v>
      </c>
      <c r="W23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34" spans="1:23" ht="15.6" x14ac:dyDescent="0.3">
      <c r="A234" s="4" t="s">
        <v>243</v>
      </c>
      <c r="B234" s="25">
        <v>910</v>
      </c>
      <c r="C234" s="26">
        <v>78852.590109890007</v>
      </c>
      <c r="D234" s="15" t="str">
        <f>IFERROR(PayGapsForMalesInRacialEthnicGroupsByOccupationalSeries[[#This Row],[AIAN Male Employees]]/E$318,"")</f>
        <v/>
      </c>
      <c r="E234" s="16" t="s">
        <v>0</v>
      </c>
      <c r="F234" s="17" t="s">
        <v>0</v>
      </c>
      <c r="G234" s="18" t="s">
        <v>0</v>
      </c>
      <c r="H234" s="15">
        <f>IFERROR(PayGapsForMalesInRacialEthnicGroupsByOccupationalSeries[[#This Row],[ANHPI Male Employees]]/I$318,"")</f>
        <v>1.4080668604651162E-3</v>
      </c>
      <c r="I234" s="16">
        <v>93</v>
      </c>
      <c r="J234" s="17">
        <v>76680.290322581001</v>
      </c>
      <c r="K234" s="18">
        <f>PayGapsForMalesInRacialEthnicGroupsByOccupationalSeries[[#This Row],[ANHPI Male Avg Salary]]/PayGapsForMalesInRacialEthnicGroupsByOccupationalSeries[[#This Row],[White Male Average Salary]]</f>
        <v>0.97245112957885516</v>
      </c>
      <c r="L234" s="15">
        <f>IFERROR(PayGapsForMalesInRacialEthnicGroupsByOccupationalSeries[[#This Row],[Black Male Employees]]/M$318,"")</f>
        <v>1.0478742550893894E-3</v>
      </c>
      <c r="M234" s="16">
        <v>131</v>
      </c>
      <c r="N234" s="17">
        <v>78529.623076923002</v>
      </c>
      <c r="O234" s="18">
        <f>IFERROR(PayGapsForMalesInRacialEthnicGroupsByOccupationalSeries[[#This Row],[Black Male Avg Salary]]/PayGapsForMalesInRacialEthnicGroupsByOccupationalSeries[[#This Row],[White Male Average Salary]],"")</f>
        <v>0.99590416709816487</v>
      </c>
      <c r="P234" s="15" t="str">
        <f>IFERROR(PayGapsForMalesInRacialEthnicGroupsByOccupationalSeries[[#This Row],[Hispanic Latino Male Employees]]/Q$318,"")</f>
        <v/>
      </c>
      <c r="Q234" s="16" t="s">
        <v>0</v>
      </c>
      <c r="R234" s="17" t="s">
        <v>0</v>
      </c>
      <c r="S23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34" s="15" t="str">
        <f>IFERROR(PayGapsForMalesInRacialEthnicGroupsByOccupationalSeries[[#This Row],[Other Male Employees]]/U$318,"")</f>
        <v/>
      </c>
      <c r="U234" s="16" t="s">
        <v>0</v>
      </c>
      <c r="V234" s="17" t="s">
        <v>0</v>
      </c>
      <c r="W23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35" spans="1:23" ht="15.6" x14ac:dyDescent="0.3">
      <c r="A235" s="4" t="s">
        <v>244</v>
      </c>
      <c r="B235" s="25">
        <v>228</v>
      </c>
      <c r="C235" s="26">
        <v>131864.88596491201</v>
      </c>
      <c r="D235" s="15" t="str">
        <f>IFERROR(PayGapsForMalesInRacialEthnicGroupsByOccupationalSeries[[#This Row],[AIAN Male Employees]]/E$318,"")</f>
        <v/>
      </c>
      <c r="E235" s="16" t="s">
        <v>0</v>
      </c>
      <c r="F235" s="17" t="s">
        <v>0</v>
      </c>
      <c r="G235" s="18" t="s">
        <v>0</v>
      </c>
      <c r="H235" s="15" t="str">
        <f>IFERROR(PayGapsForMalesInRacialEthnicGroupsByOccupationalSeries[[#This Row],[ANHPI Male Employees]]/I$318,"")</f>
        <v/>
      </c>
      <c r="I235" s="16" t="s">
        <v>0</v>
      </c>
      <c r="J235" s="17" t="s">
        <v>0</v>
      </c>
      <c r="K235" s="18" t="s">
        <v>0</v>
      </c>
      <c r="L235" s="15" t="str">
        <f>IFERROR(PayGapsForMalesInRacialEthnicGroupsByOccupationalSeries[[#This Row],[Black Male Employees]]/M$318,"")</f>
        <v/>
      </c>
      <c r="M235" s="16" t="s">
        <v>0</v>
      </c>
      <c r="N235" s="17" t="s">
        <v>0</v>
      </c>
      <c r="O235" s="18" t="str">
        <f>IFERROR(PayGapsForMalesInRacialEthnicGroupsByOccupationalSeries[[#This Row],[Black Male Avg Salary]]/PayGapsForMalesInRacialEthnicGroupsByOccupationalSeries[[#This Row],[White Male Average Salary]],"")</f>
        <v/>
      </c>
      <c r="P235" s="15" t="str">
        <f>IFERROR(PayGapsForMalesInRacialEthnicGroupsByOccupationalSeries[[#This Row],[Hispanic Latino Male Employees]]/Q$318,"")</f>
        <v/>
      </c>
      <c r="Q235" s="16" t="s">
        <v>0</v>
      </c>
      <c r="R235" s="17" t="s">
        <v>0</v>
      </c>
      <c r="S23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35" s="15" t="str">
        <f>IFERROR(PayGapsForMalesInRacialEthnicGroupsByOccupationalSeries[[#This Row],[Other Male Employees]]/U$318,"")</f>
        <v/>
      </c>
      <c r="U235" s="16" t="s">
        <v>0</v>
      </c>
      <c r="V235" s="17" t="s">
        <v>0</v>
      </c>
      <c r="W23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36" spans="1:23" ht="15.6" x14ac:dyDescent="0.3">
      <c r="A236" s="4" t="s">
        <v>245</v>
      </c>
      <c r="B236" s="25">
        <v>1118</v>
      </c>
      <c r="C236" s="26">
        <v>107814.43738819299</v>
      </c>
      <c r="D236" s="15" t="str">
        <f>IFERROR(PayGapsForMalesInRacialEthnicGroupsByOccupationalSeries[[#This Row],[AIAN Male Employees]]/E$318,"")</f>
        <v/>
      </c>
      <c r="E236" s="16" t="s">
        <v>0</v>
      </c>
      <c r="F236" s="17" t="s">
        <v>0</v>
      </c>
      <c r="G236" s="18" t="s">
        <v>0</v>
      </c>
      <c r="H236" s="15" t="str">
        <f>IFERROR(PayGapsForMalesInRacialEthnicGroupsByOccupationalSeries[[#This Row],[ANHPI Male Employees]]/I$318,"")</f>
        <v/>
      </c>
      <c r="I236" s="16" t="s">
        <v>0</v>
      </c>
      <c r="J236" s="17" t="s">
        <v>0</v>
      </c>
      <c r="K236" s="18" t="s">
        <v>0</v>
      </c>
      <c r="L236" s="15" t="str">
        <f>IFERROR(PayGapsForMalesInRacialEthnicGroupsByOccupationalSeries[[#This Row],[Black Male Employees]]/M$318,"")</f>
        <v/>
      </c>
      <c r="M236" s="16" t="s">
        <v>0</v>
      </c>
      <c r="N236" s="17" t="s">
        <v>0</v>
      </c>
      <c r="O236" s="18" t="str">
        <f>IFERROR(PayGapsForMalesInRacialEthnicGroupsByOccupationalSeries[[#This Row],[Black Male Avg Salary]]/PayGapsForMalesInRacialEthnicGroupsByOccupationalSeries[[#This Row],[White Male Average Salary]],"")</f>
        <v/>
      </c>
      <c r="P236" s="15" t="str">
        <f>IFERROR(PayGapsForMalesInRacialEthnicGroupsByOccupationalSeries[[#This Row],[Hispanic Latino Male Employees]]/Q$318,"")</f>
        <v/>
      </c>
      <c r="Q236" s="16" t="s">
        <v>0</v>
      </c>
      <c r="R236" s="17" t="s">
        <v>0</v>
      </c>
      <c r="S23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36" s="15" t="str">
        <f>IFERROR(PayGapsForMalesInRacialEthnicGroupsByOccupationalSeries[[#This Row],[Other Male Employees]]/U$318,"")</f>
        <v/>
      </c>
      <c r="U236" s="16" t="s">
        <v>0</v>
      </c>
      <c r="V236" s="17" t="s">
        <v>0</v>
      </c>
      <c r="W23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37" spans="1:23" ht="15.6" x14ac:dyDescent="0.3">
      <c r="A237" s="4" t="s">
        <v>246</v>
      </c>
      <c r="B237" s="25">
        <v>950</v>
      </c>
      <c r="C237" s="26">
        <v>68257.175789474</v>
      </c>
      <c r="D237" s="15" t="str">
        <f>IFERROR(PayGapsForMalesInRacialEthnicGroupsByOccupationalSeries[[#This Row],[AIAN Male Employees]]/E$318,"")</f>
        <v/>
      </c>
      <c r="E237" s="16" t="s">
        <v>0</v>
      </c>
      <c r="F237" s="17" t="s">
        <v>0</v>
      </c>
      <c r="G237" s="18" t="s">
        <v>0</v>
      </c>
      <c r="H237" s="15" t="str">
        <f>IFERROR(PayGapsForMalesInRacialEthnicGroupsByOccupationalSeries[[#This Row],[ANHPI Male Employees]]/I$318,"")</f>
        <v/>
      </c>
      <c r="I237" s="16" t="s">
        <v>0</v>
      </c>
      <c r="J237" s="17" t="s">
        <v>0</v>
      </c>
      <c r="K237" s="18" t="s">
        <v>0</v>
      </c>
      <c r="L237" s="15" t="str">
        <f>IFERROR(PayGapsForMalesInRacialEthnicGroupsByOccupationalSeries[[#This Row],[Black Male Employees]]/M$318,"")</f>
        <v/>
      </c>
      <c r="M237" s="16" t="s">
        <v>0</v>
      </c>
      <c r="N237" s="17" t="s">
        <v>0</v>
      </c>
      <c r="O237" s="18" t="str">
        <f>IFERROR(PayGapsForMalesInRacialEthnicGroupsByOccupationalSeries[[#This Row],[Black Male Avg Salary]]/PayGapsForMalesInRacialEthnicGroupsByOccupationalSeries[[#This Row],[White Male Average Salary]],"")</f>
        <v/>
      </c>
      <c r="P237" s="15" t="str">
        <f>IFERROR(PayGapsForMalesInRacialEthnicGroupsByOccupationalSeries[[#This Row],[Hispanic Latino Male Employees]]/Q$318,"")</f>
        <v/>
      </c>
      <c r="Q237" s="16" t="s">
        <v>0</v>
      </c>
      <c r="R237" s="17" t="s">
        <v>0</v>
      </c>
      <c r="S23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37" s="15" t="str">
        <f>IFERROR(PayGapsForMalesInRacialEthnicGroupsByOccupationalSeries[[#This Row],[Other Male Employees]]/U$318,"")</f>
        <v/>
      </c>
      <c r="U237" s="16" t="s">
        <v>0</v>
      </c>
      <c r="V237" s="17" t="s">
        <v>0</v>
      </c>
      <c r="W23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38" spans="1:23" ht="15.6" x14ac:dyDescent="0.3">
      <c r="A238" s="4" t="s">
        <v>247</v>
      </c>
      <c r="B238" s="25">
        <v>1869</v>
      </c>
      <c r="C238" s="26">
        <v>128749.403959337</v>
      </c>
      <c r="D238" s="15" t="str">
        <f>IFERROR(PayGapsForMalesInRacialEthnicGroupsByOccupationalSeries[[#This Row],[AIAN Male Employees]]/E$318,"")</f>
        <v/>
      </c>
      <c r="E238" s="16" t="s">
        <v>0</v>
      </c>
      <c r="F238" s="17" t="s">
        <v>0</v>
      </c>
      <c r="G238" s="18" t="s">
        <v>0</v>
      </c>
      <c r="H238" s="15">
        <f>IFERROR(PayGapsForMalesInRacialEthnicGroupsByOccupationalSeries[[#This Row],[ANHPI Male Employees]]/I$318,"")</f>
        <v>7.6308139534883718E-3</v>
      </c>
      <c r="I238" s="16">
        <v>504</v>
      </c>
      <c r="J238" s="17">
        <v>133792.52380952399</v>
      </c>
      <c r="K238" s="18">
        <f>PayGapsForMalesInRacialEthnicGroupsByOccupationalSeries[[#This Row],[ANHPI Male Avg Salary]]/PayGapsForMalesInRacialEthnicGroupsByOccupationalSeries[[#This Row],[White Male Average Salary]]</f>
        <v>1.0391700442495233</v>
      </c>
      <c r="L238" s="15">
        <f>IFERROR(PayGapsForMalesInRacialEthnicGroupsByOccupationalSeries[[#This Row],[Black Male Employees]]/M$318,"")</f>
        <v>1.1998560172779267E-3</v>
      </c>
      <c r="M238" s="16">
        <v>150</v>
      </c>
      <c r="N238" s="17">
        <v>115541.713333333</v>
      </c>
      <c r="O238" s="18">
        <f>IFERROR(PayGapsForMalesInRacialEthnicGroupsByOccupationalSeries[[#This Row],[Black Male Avg Salary]]/PayGapsForMalesInRacialEthnicGroupsByOccupationalSeries[[#This Row],[White Male Average Salary]],"")</f>
        <v>0.89741552022892945</v>
      </c>
      <c r="P238" s="15">
        <f>IFERROR(PayGapsForMalesInRacialEthnicGroupsByOccupationalSeries[[#This Row],[Hispanic Latino Male Employees]]/Q$318,"")</f>
        <v>1.3823526422247745E-3</v>
      </c>
      <c r="Q238" s="16">
        <v>136</v>
      </c>
      <c r="R238" s="17">
        <v>118450.529411765</v>
      </c>
      <c r="S238" s="18">
        <f>IFERROR(PayGapsForMalesInRacialEthnicGroupsByOccupationalSeries[[#This Row],[Hispanic Latino Male Avg Salary]]/PayGapsForMalesInRacialEthnicGroupsByOccupationalSeries[[#This Row],[White Male Average Salary]],"")</f>
        <v>0.9200083710614716</v>
      </c>
      <c r="T238" s="15" t="str">
        <f>IFERROR(PayGapsForMalesInRacialEthnicGroupsByOccupationalSeries[[#This Row],[Other Male Employees]]/U$318,"")</f>
        <v/>
      </c>
      <c r="U238" s="16" t="s">
        <v>0</v>
      </c>
      <c r="V238" s="17" t="s">
        <v>0</v>
      </c>
      <c r="W23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39" spans="1:23" ht="15.6" x14ac:dyDescent="0.3">
      <c r="A239" s="4" t="s">
        <v>248</v>
      </c>
      <c r="B239" s="25">
        <v>276</v>
      </c>
      <c r="C239" s="26">
        <v>156422.73913043499</v>
      </c>
      <c r="D239" s="15" t="str">
        <f>IFERROR(PayGapsForMalesInRacialEthnicGroupsByOccupationalSeries[[#This Row],[AIAN Male Employees]]/E$318,"")</f>
        <v/>
      </c>
      <c r="E239" s="16" t="s">
        <v>0</v>
      </c>
      <c r="F239" s="17" t="s">
        <v>0</v>
      </c>
      <c r="G239" s="18" t="s">
        <v>0</v>
      </c>
      <c r="H239" s="15" t="str">
        <f>IFERROR(PayGapsForMalesInRacialEthnicGroupsByOccupationalSeries[[#This Row],[ANHPI Male Employees]]/I$318,"")</f>
        <v/>
      </c>
      <c r="I239" s="16" t="s">
        <v>0</v>
      </c>
      <c r="J239" s="17" t="s">
        <v>0</v>
      </c>
      <c r="K239" s="18" t="s">
        <v>0</v>
      </c>
      <c r="L239" s="15" t="str">
        <f>IFERROR(PayGapsForMalesInRacialEthnicGroupsByOccupationalSeries[[#This Row],[Black Male Employees]]/M$318,"")</f>
        <v/>
      </c>
      <c r="M239" s="16" t="s">
        <v>0</v>
      </c>
      <c r="N239" s="17" t="s">
        <v>0</v>
      </c>
      <c r="O239" s="18" t="str">
        <f>IFERROR(PayGapsForMalesInRacialEthnicGroupsByOccupationalSeries[[#This Row],[Black Male Avg Salary]]/PayGapsForMalesInRacialEthnicGroupsByOccupationalSeries[[#This Row],[White Male Average Salary]],"")</f>
        <v/>
      </c>
      <c r="P239" s="15" t="str">
        <f>IFERROR(PayGapsForMalesInRacialEthnicGroupsByOccupationalSeries[[#This Row],[Hispanic Latino Male Employees]]/Q$318,"")</f>
        <v/>
      </c>
      <c r="Q239" s="16" t="s">
        <v>0</v>
      </c>
      <c r="R239" s="17" t="s">
        <v>0</v>
      </c>
      <c r="S23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39" s="15" t="str">
        <f>IFERROR(PayGapsForMalesInRacialEthnicGroupsByOccupationalSeries[[#This Row],[Other Male Employees]]/U$318,"")</f>
        <v/>
      </c>
      <c r="U239" s="16" t="s">
        <v>0</v>
      </c>
      <c r="V239" s="17" t="s">
        <v>0</v>
      </c>
      <c r="W23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40" spans="1:23" ht="15.6" x14ac:dyDescent="0.3">
      <c r="A240" s="4" t="s">
        <v>249</v>
      </c>
      <c r="B240" s="25">
        <v>2092</v>
      </c>
      <c r="C240" s="26">
        <v>112281.810229446</v>
      </c>
      <c r="D240" s="15" t="str">
        <f>IFERROR(PayGapsForMalesInRacialEthnicGroupsByOccupationalSeries[[#This Row],[AIAN Male Employees]]/E$318,"")</f>
        <v/>
      </c>
      <c r="E240" s="16" t="s">
        <v>0</v>
      </c>
      <c r="F240" s="17" t="s">
        <v>0</v>
      </c>
      <c r="G240" s="18" t="s">
        <v>0</v>
      </c>
      <c r="H240" s="15" t="str">
        <f>IFERROR(PayGapsForMalesInRacialEthnicGroupsByOccupationalSeries[[#This Row],[ANHPI Male Employees]]/I$318,"")</f>
        <v/>
      </c>
      <c r="I240" s="16" t="s">
        <v>0</v>
      </c>
      <c r="J240" s="17" t="s">
        <v>0</v>
      </c>
      <c r="K240" s="18" t="s">
        <v>0</v>
      </c>
      <c r="L240" s="15" t="str">
        <f>IFERROR(PayGapsForMalesInRacialEthnicGroupsByOccupationalSeries[[#This Row],[Black Male Employees]]/M$318,"")</f>
        <v/>
      </c>
      <c r="M240" s="16" t="s">
        <v>0</v>
      </c>
      <c r="N240" s="17" t="s">
        <v>0</v>
      </c>
      <c r="O240" s="18" t="str">
        <f>IFERROR(PayGapsForMalesInRacialEthnicGroupsByOccupationalSeries[[#This Row],[Black Male Avg Salary]]/PayGapsForMalesInRacialEthnicGroupsByOccupationalSeries[[#This Row],[White Male Average Salary]],"")</f>
        <v/>
      </c>
      <c r="P240" s="15" t="str">
        <f>IFERROR(PayGapsForMalesInRacialEthnicGroupsByOccupationalSeries[[#This Row],[Hispanic Latino Male Employees]]/Q$318,"")</f>
        <v/>
      </c>
      <c r="Q240" s="16" t="s">
        <v>0</v>
      </c>
      <c r="R240" s="17" t="s">
        <v>0</v>
      </c>
      <c r="S24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40" s="15" t="str">
        <f>IFERROR(PayGapsForMalesInRacialEthnicGroupsByOccupationalSeries[[#This Row],[Other Male Employees]]/U$318,"")</f>
        <v/>
      </c>
      <c r="U240" s="16" t="s">
        <v>0</v>
      </c>
      <c r="V240" s="17" t="s">
        <v>0</v>
      </c>
      <c r="W24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41" spans="1:23" ht="15.6" x14ac:dyDescent="0.3">
      <c r="A241" s="4" t="s">
        <v>250</v>
      </c>
      <c r="B241" s="25">
        <v>303</v>
      </c>
      <c r="C241" s="26">
        <v>81175.108910890995</v>
      </c>
      <c r="D241" s="15" t="str">
        <f>IFERROR(PayGapsForMalesInRacialEthnicGroupsByOccupationalSeries[[#This Row],[AIAN Male Employees]]/E$318,"")</f>
        <v/>
      </c>
      <c r="E241" s="16" t="s">
        <v>0</v>
      </c>
      <c r="F241" s="17" t="s">
        <v>0</v>
      </c>
      <c r="G241" s="18" t="s">
        <v>0</v>
      </c>
      <c r="H241" s="15" t="str">
        <f>IFERROR(PayGapsForMalesInRacialEthnicGroupsByOccupationalSeries[[#This Row],[ANHPI Male Employees]]/I$318,"")</f>
        <v/>
      </c>
      <c r="I241" s="16" t="s">
        <v>0</v>
      </c>
      <c r="J241" s="17" t="s">
        <v>0</v>
      </c>
      <c r="K241" s="18" t="s">
        <v>0</v>
      </c>
      <c r="L241" s="15" t="str">
        <f>IFERROR(PayGapsForMalesInRacialEthnicGroupsByOccupationalSeries[[#This Row],[Black Male Employees]]/M$318,"")</f>
        <v/>
      </c>
      <c r="M241" s="16" t="s">
        <v>0</v>
      </c>
      <c r="N241" s="17" t="s">
        <v>0</v>
      </c>
      <c r="O241" s="18" t="str">
        <f>IFERROR(PayGapsForMalesInRacialEthnicGroupsByOccupationalSeries[[#This Row],[Black Male Avg Salary]]/PayGapsForMalesInRacialEthnicGroupsByOccupationalSeries[[#This Row],[White Male Average Salary]],"")</f>
        <v/>
      </c>
      <c r="P241" s="15" t="str">
        <f>IFERROR(PayGapsForMalesInRacialEthnicGroupsByOccupationalSeries[[#This Row],[Hispanic Latino Male Employees]]/Q$318,"")</f>
        <v/>
      </c>
      <c r="Q241" s="16" t="s">
        <v>0</v>
      </c>
      <c r="R241" s="17" t="s">
        <v>0</v>
      </c>
      <c r="S24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41" s="15" t="str">
        <f>IFERROR(PayGapsForMalesInRacialEthnicGroupsByOccupationalSeries[[#This Row],[Other Male Employees]]/U$318,"")</f>
        <v/>
      </c>
      <c r="U241" s="16" t="s">
        <v>0</v>
      </c>
      <c r="V241" s="17" t="s">
        <v>0</v>
      </c>
      <c r="W24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42" spans="1:23" ht="15.6" x14ac:dyDescent="0.3">
      <c r="A242" s="4" t="s">
        <v>251</v>
      </c>
      <c r="B242" s="25">
        <v>822</v>
      </c>
      <c r="C242" s="26">
        <v>110802.734793187</v>
      </c>
      <c r="D242" s="15" t="str">
        <f>IFERROR(PayGapsForMalesInRacialEthnicGroupsByOccupationalSeries[[#This Row],[AIAN Male Employees]]/E$318,"")</f>
        <v/>
      </c>
      <c r="E242" s="16" t="s">
        <v>0</v>
      </c>
      <c r="F242" s="17" t="s">
        <v>0</v>
      </c>
      <c r="G242" s="18" t="s">
        <v>0</v>
      </c>
      <c r="H242" s="15" t="str">
        <f>IFERROR(PayGapsForMalesInRacialEthnicGroupsByOccupationalSeries[[#This Row],[ANHPI Male Employees]]/I$318,"")</f>
        <v/>
      </c>
      <c r="I242" s="16" t="s">
        <v>0</v>
      </c>
      <c r="J242" s="17" t="s">
        <v>0</v>
      </c>
      <c r="K242" s="18" t="s">
        <v>0</v>
      </c>
      <c r="L242" s="15" t="str">
        <f>IFERROR(PayGapsForMalesInRacialEthnicGroupsByOccupationalSeries[[#This Row],[Black Male Employees]]/M$318,"")</f>
        <v/>
      </c>
      <c r="M242" s="16" t="s">
        <v>0</v>
      </c>
      <c r="N242" s="17" t="s">
        <v>0</v>
      </c>
      <c r="O242" s="18" t="str">
        <f>IFERROR(PayGapsForMalesInRacialEthnicGroupsByOccupationalSeries[[#This Row],[Black Male Avg Salary]]/PayGapsForMalesInRacialEthnicGroupsByOccupationalSeries[[#This Row],[White Male Average Salary]],"")</f>
        <v/>
      </c>
      <c r="P242" s="15" t="str">
        <f>IFERROR(PayGapsForMalesInRacialEthnicGroupsByOccupationalSeries[[#This Row],[Hispanic Latino Male Employees]]/Q$318,"")</f>
        <v/>
      </c>
      <c r="Q242" s="16" t="s">
        <v>0</v>
      </c>
      <c r="R242" s="17" t="s">
        <v>0</v>
      </c>
      <c r="S24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42" s="15" t="str">
        <f>IFERROR(PayGapsForMalesInRacialEthnicGroupsByOccupationalSeries[[#This Row],[Other Male Employees]]/U$318,"")</f>
        <v/>
      </c>
      <c r="U242" s="16" t="s">
        <v>0</v>
      </c>
      <c r="V242" s="17" t="s">
        <v>0</v>
      </c>
      <c r="W24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43" spans="1:23" ht="15.6" x14ac:dyDescent="0.3">
      <c r="A243" s="4" t="s">
        <v>252</v>
      </c>
      <c r="B243" s="25">
        <v>247</v>
      </c>
      <c r="C243" s="26">
        <v>130720.473684211</v>
      </c>
      <c r="D243" s="15" t="str">
        <f>IFERROR(PayGapsForMalesInRacialEthnicGroupsByOccupationalSeries[[#This Row],[AIAN Male Employees]]/E$318,"")</f>
        <v/>
      </c>
      <c r="E243" s="16" t="s">
        <v>0</v>
      </c>
      <c r="F243" s="17" t="s">
        <v>0</v>
      </c>
      <c r="G243" s="18" t="s">
        <v>0</v>
      </c>
      <c r="H243" s="15" t="str">
        <f>IFERROR(PayGapsForMalesInRacialEthnicGroupsByOccupationalSeries[[#This Row],[ANHPI Male Employees]]/I$318,"")</f>
        <v/>
      </c>
      <c r="I243" s="16" t="s">
        <v>0</v>
      </c>
      <c r="J243" s="17" t="s">
        <v>0</v>
      </c>
      <c r="K243" s="18" t="s">
        <v>0</v>
      </c>
      <c r="L243" s="15" t="str">
        <f>IFERROR(PayGapsForMalesInRacialEthnicGroupsByOccupationalSeries[[#This Row],[Black Male Employees]]/M$318,"")</f>
        <v/>
      </c>
      <c r="M243" s="16" t="s">
        <v>0</v>
      </c>
      <c r="N243" s="17" t="s">
        <v>0</v>
      </c>
      <c r="O243" s="18" t="str">
        <f>IFERROR(PayGapsForMalesInRacialEthnicGroupsByOccupationalSeries[[#This Row],[Black Male Avg Salary]]/PayGapsForMalesInRacialEthnicGroupsByOccupationalSeries[[#This Row],[White Male Average Salary]],"")</f>
        <v/>
      </c>
      <c r="P243" s="15" t="str">
        <f>IFERROR(PayGapsForMalesInRacialEthnicGroupsByOccupationalSeries[[#This Row],[Hispanic Latino Male Employees]]/Q$318,"")</f>
        <v/>
      </c>
      <c r="Q243" s="16" t="s">
        <v>0</v>
      </c>
      <c r="R243" s="17" t="s">
        <v>0</v>
      </c>
      <c r="S24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43" s="15" t="str">
        <f>IFERROR(PayGapsForMalesInRacialEthnicGroupsByOccupationalSeries[[#This Row],[Other Male Employees]]/U$318,"")</f>
        <v/>
      </c>
      <c r="U243" s="16" t="s">
        <v>0</v>
      </c>
      <c r="V243" s="17" t="s">
        <v>0</v>
      </c>
      <c r="W24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44" spans="1:23" ht="15.6" x14ac:dyDescent="0.3">
      <c r="A244" s="4" t="s">
        <v>253</v>
      </c>
      <c r="B244" s="25">
        <v>305</v>
      </c>
      <c r="C244" s="26">
        <v>130446.76065573801</v>
      </c>
      <c r="D244" s="15" t="str">
        <f>IFERROR(PayGapsForMalesInRacialEthnicGroupsByOccupationalSeries[[#This Row],[AIAN Male Employees]]/E$318,"")</f>
        <v/>
      </c>
      <c r="E244" s="16" t="s">
        <v>0</v>
      </c>
      <c r="F244" s="17" t="s">
        <v>0</v>
      </c>
      <c r="G244" s="18" t="s">
        <v>0</v>
      </c>
      <c r="H244" s="15" t="str">
        <f>IFERROR(PayGapsForMalesInRacialEthnicGroupsByOccupationalSeries[[#This Row],[ANHPI Male Employees]]/I$318,"")</f>
        <v/>
      </c>
      <c r="I244" s="16" t="s">
        <v>0</v>
      </c>
      <c r="J244" s="17" t="s">
        <v>0</v>
      </c>
      <c r="K244" s="18" t="s">
        <v>0</v>
      </c>
      <c r="L244" s="15" t="str">
        <f>IFERROR(PayGapsForMalesInRacialEthnicGroupsByOccupationalSeries[[#This Row],[Black Male Employees]]/M$318,"")</f>
        <v/>
      </c>
      <c r="M244" s="16" t="s">
        <v>0</v>
      </c>
      <c r="N244" s="17" t="s">
        <v>0</v>
      </c>
      <c r="O244" s="18" t="str">
        <f>IFERROR(PayGapsForMalesInRacialEthnicGroupsByOccupationalSeries[[#This Row],[Black Male Avg Salary]]/PayGapsForMalesInRacialEthnicGroupsByOccupationalSeries[[#This Row],[White Male Average Salary]],"")</f>
        <v/>
      </c>
      <c r="P244" s="15" t="str">
        <f>IFERROR(PayGapsForMalesInRacialEthnicGroupsByOccupationalSeries[[#This Row],[Hispanic Latino Male Employees]]/Q$318,"")</f>
        <v/>
      </c>
      <c r="Q244" s="16" t="s">
        <v>0</v>
      </c>
      <c r="R244" s="17" t="s">
        <v>0</v>
      </c>
      <c r="S24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44" s="15" t="str">
        <f>IFERROR(PayGapsForMalesInRacialEthnicGroupsByOccupationalSeries[[#This Row],[Other Male Employees]]/U$318,"")</f>
        <v/>
      </c>
      <c r="U244" s="16" t="s">
        <v>0</v>
      </c>
      <c r="V244" s="17" t="s">
        <v>0</v>
      </c>
      <c r="W24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45" spans="1:23" ht="15.6" x14ac:dyDescent="0.3">
      <c r="A245" s="4" t="s">
        <v>254</v>
      </c>
      <c r="B245" s="25">
        <v>323</v>
      </c>
      <c r="C245" s="26">
        <v>105837.10216718299</v>
      </c>
      <c r="D245" s="15" t="str">
        <f>IFERROR(PayGapsForMalesInRacialEthnicGroupsByOccupationalSeries[[#This Row],[AIAN Male Employees]]/E$318,"")</f>
        <v/>
      </c>
      <c r="E245" s="16" t="s">
        <v>0</v>
      </c>
      <c r="F245" s="17" t="s">
        <v>0</v>
      </c>
      <c r="G245" s="18" t="s">
        <v>0</v>
      </c>
      <c r="H245" s="15" t="str">
        <f>IFERROR(PayGapsForMalesInRacialEthnicGroupsByOccupationalSeries[[#This Row],[ANHPI Male Employees]]/I$318,"")</f>
        <v/>
      </c>
      <c r="I245" s="16" t="s">
        <v>0</v>
      </c>
      <c r="J245" s="17" t="s">
        <v>0</v>
      </c>
      <c r="K245" s="18" t="s">
        <v>0</v>
      </c>
      <c r="L245" s="15" t="str">
        <f>IFERROR(PayGapsForMalesInRacialEthnicGroupsByOccupationalSeries[[#This Row],[Black Male Employees]]/M$318,"")</f>
        <v/>
      </c>
      <c r="M245" s="16" t="s">
        <v>0</v>
      </c>
      <c r="N245" s="17" t="s">
        <v>0</v>
      </c>
      <c r="O245" s="18" t="str">
        <f>IFERROR(PayGapsForMalesInRacialEthnicGroupsByOccupationalSeries[[#This Row],[Black Male Avg Salary]]/PayGapsForMalesInRacialEthnicGroupsByOccupationalSeries[[#This Row],[White Male Average Salary]],"")</f>
        <v/>
      </c>
      <c r="P245" s="15" t="str">
        <f>IFERROR(PayGapsForMalesInRacialEthnicGroupsByOccupationalSeries[[#This Row],[Hispanic Latino Male Employees]]/Q$318,"")</f>
        <v/>
      </c>
      <c r="Q245" s="16" t="s">
        <v>0</v>
      </c>
      <c r="R245" s="17" t="s">
        <v>0</v>
      </c>
      <c r="S24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45" s="15" t="str">
        <f>IFERROR(PayGapsForMalesInRacialEthnicGroupsByOccupationalSeries[[#This Row],[Other Male Employees]]/U$318,"")</f>
        <v/>
      </c>
      <c r="U245" s="16" t="s">
        <v>0</v>
      </c>
      <c r="V245" s="17" t="s">
        <v>0</v>
      </c>
      <c r="W24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46" spans="1:23" ht="15.6" x14ac:dyDescent="0.3">
      <c r="A246" s="4" t="s">
        <v>255</v>
      </c>
      <c r="B246" s="25">
        <v>126</v>
      </c>
      <c r="C246" s="26">
        <v>68637.912698412998</v>
      </c>
      <c r="D246" s="15" t="str">
        <f>IFERROR(PayGapsForMalesInRacialEthnicGroupsByOccupationalSeries[[#This Row],[AIAN Male Employees]]/E$318,"")</f>
        <v/>
      </c>
      <c r="E246" s="16" t="s">
        <v>0</v>
      </c>
      <c r="F246" s="17" t="s">
        <v>0</v>
      </c>
      <c r="G246" s="18" t="s">
        <v>0</v>
      </c>
      <c r="H246" s="15" t="str">
        <f>IFERROR(PayGapsForMalesInRacialEthnicGroupsByOccupationalSeries[[#This Row],[ANHPI Male Employees]]/I$318,"")</f>
        <v/>
      </c>
      <c r="I246" s="16" t="s">
        <v>0</v>
      </c>
      <c r="J246" s="17" t="s">
        <v>0</v>
      </c>
      <c r="K246" s="18" t="s">
        <v>0</v>
      </c>
      <c r="L246" s="15" t="str">
        <f>IFERROR(PayGapsForMalesInRacialEthnicGroupsByOccupationalSeries[[#This Row],[Black Male Employees]]/M$318,"")</f>
        <v/>
      </c>
      <c r="M246" s="16" t="s">
        <v>0</v>
      </c>
      <c r="N246" s="17" t="s">
        <v>0</v>
      </c>
      <c r="O246" s="18" t="str">
        <f>IFERROR(PayGapsForMalesInRacialEthnicGroupsByOccupationalSeries[[#This Row],[Black Male Avg Salary]]/PayGapsForMalesInRacialEthnicGroupsByOccupationalSeries[[#This Row],[White Male Average Salary]],"")</f>
        <v/>
      </c>
      <c r="P246" s="15" t="str">
        <f>IFERROR(PayGapsForMalesInRacialEthnicGroupsByOccupationalSeries[[#This Row],[Hispanic Latino Male Employees]]/Q$318,"")</f>
        <v/>
      </c>
      <c r="Q246" s="16" t="s">
        <v>0</v>
      </c>
      <c r="R246" s="17" t="s">
        <v>0</v>
      </c>
      <c r="S24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46" s="15" t="str">
        <f>IFERROR(PayGapsForMalesInRacialEthnicGroupsByOccupationalSeries[[#This Row],[Other Male Employees]]/U$318,"")</f>
        <v/>
      </c>
      <c r="U246" s="16" t="s">
        <v>0</v>
      </c>
      <c r="V246" s="17" t="s">
        <v>0</v>
      </c>
      <c r="W24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47" spans="1:23" ht="15.6" x14ac:dyDescent="0.3">
      <c r="A247" s="4" t="s">
        <v>256</v>
      </c>
      <c r="B247" s="25">
        <v>286</v>
      </c>
      <c r="C247" s="26">
        <v>92648.062937063005</v>
      </c>
      <c r="D247" s="15" t="str">
        <f>IFERROR(PayGapsForMalesInRacialEthnicGroupsByOccupationalSeries[[#This Row],[AIAN Male Employees]]/E$318,"")</f>
        <v/>
      </c>
      <c r="E247" s="16" t="s">
        <v>0</v>
      </c>
      <c r="F247" s="17" t="s">
        <v>0</v>
      </c>
      <c r="G247" s="18" t="s">
        <v>0</v>
      </c>
      <c r="H247" s="15" t="str">
        <f>IFERROR(PayGapsForMalesInRacialEthnicGroupsByOccupationalSeries[[#This Row],[ANHPI Male Employees]]/I$318,"")</f>
        <v/>
      </c>
      <c r="I247" s="16" t="s">
        <v>0</v>
      </c>
      <c r="J247" s="17" t="s">
        <v>0</v>
      </c>
      <c r="K247" s="18" t="s">
        <v>0</v>
      </c>
      <c r="L247" s="15" t="str">
        <f>IFERROR(PayGapsForMalesInRacialEthnicGroupsByOccupationalSeries[[#This Row],[Black Male Employees]]/M$318,"")</f>
        <v/>
      </c>
      <c r="M247" s="16" t="s">
        <v>0</v>
      </c>
      <c r="N247" s="17" t="s">
        <v>0</v>
      </c>
      <c r="O247" s="18" t="str">
        <f>IFERROR(PayGapsForMalesInRacialEthnicGroupsByOccupationalSeries[[#This Row],[Black Male Avg Salary]]/PayGapsForMalesInRacialEthnicGroupsByOccupationalSeries[[#This Row],[White Male Average Salary]],"")</f>
        <v/>
      </c>
      <c r="P247" s="15" t="str">
        <f>IFERROR(PayGapsForMalesInRacialEthnicGroupsByOccupationalSeries[[#This Row],[Hispanic Latino Male Employees]]/Q$318,"")</f>
        <v/>
      </c>
      <c r="Q247" s="16" t="s">
        <v>0</v>
      </c>
      <c r="R247" s="17" t="s">
        <v>0</v>
      </c>
      <c r="S24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47" s="15" t="str">
        <f>IFERROR(PayGapsForMalesInRacialEthnicGroupsByOccupationalSeries[[#This Row],[Other Male Employees]]/U$318,"")</f>
        <v/>
      </c>
      <c r="U247" s="16" t="s">
        <v>0</v>
      </c>
      <c r="V247" s="17" t="s">
        <v>0</v>
      </c>
      <c r="W24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48" spans="1:23" ht="15.6" x14ac:dyDescent="0.3">
      <c r="A248" s="4" t="s">
        <v>257</v>
      </c>
      <c r="B248" s="25">
        <v>197</v>
      </c>
      <c r="C248" s="26">
        <v>105167.324873096</v>
      </c>
      <c r="D248" s="15" t="str">
        <f>IFERROR(PayGapsForMalesInRacialEthnicGroupsByOccupationalSeries[[#This Row],[AIAN Male Employees]]/E$318,"")</f>
        <v/>
      </c>
      <c r="E248" s="16" t="s">
        <v>0</v>
      </c>
      <c r="F248" s="17" t="s">
        <v>0</v>
      </c>
      <c r="G248" s="18" t="s">
        <v>0</v>
      </c>
      <c r="H248" s="15" t="str">
        <f>IFERROR(PayGapsForMalesInRacialEthnicGroupsByOccupationalSeries[[#This Row],[ANHPI Male Employees]]/I$318,"")</f>
        <v/>
      </c>
      <c r="I248" s="16" t="s">
        <v>0</v>
      </c>
      <c r="J248" s="17" t="s">
        <v>0</v>
      </c>
      <c r="K248" s="18" t="s">
        <v>0</v>
      </c>
      <c r="L248" s="15" t="str">
        <f>IFERROR(PayGapsForMalesInRacialEthnicGroupsByOccupationalSeries[[#This Row],[Black Male Employees]]/M$318,"")</f>
        <v/>
      </c>
      <c r="M248" s="16" t="s">
        <v>0</v>
      </c>
      <c r="N248" s="17" t="s">
        <v>0</v>
      </c>
      <c r="O248" s="18" t="str">
        <f>IFERROR(PayGapsForMalesInRacialEthnicGroupsByOccupationalSeries[[#This Row],[Black Male Avg Salary]]/PayGapsForMalesInRacialEthnicGroupsByOccupationalSeries[[#This Row],[White Male Average Salary]],"")</f>
        <v/>
      </c>
      <c r="P248" s="15" t="str">
        <f>IFERROR(PayGapsForMalesInRacialEthnicGroupsByOccupationalSeries[[#This Row],[Hispanic Latino Male Employees]]/Q$318,"")</f>
        <v/>
      </c>
      <c r="Q248" s="16" t="s">
        <v>0</v>
      </c>
      <c r="R248" s="17" t="s">
        <v>0</v>
      </c>
      <c r="S24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48" s="15" t="str">
        <f>IFERROR(PayGapsForMalesInRacialEthnicGroupsByOccupationalSeries[[#This Row],[Other Male Employees]]/U$318,"")</f>
        <v/>
      </c>
      <c r="U248" s="16" t="s">
        <v>0</v>
      </c>
      <c r="V248" s="17" t="s">
        <v>0</v>
      </c>
      <c r="W24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49" spans="1:23" ht="15.6" x14ac:dyDescent="0.3">
      <c r="A249" s="4" t="s">
        <v>258</v>
      </c>
      <c r="B249" s="25">
        <v>80</v>
      </c>
      <c r="C249" s="26">
        <v>57454.175000000003</v>
      </c>
      <c r="D249" s="15" t="str">
        <f>IFERROR(PayGapsForMalesInRacialEthnicGroupsByOccupationalSeries[[#This Row],[AIAN Male Employees]]/E$318,"")</f>
        <v/>
      </c>
      <c r="E249" s="16" t="s">
        <v>0</v>
      </c>
      <c r="F249" s="17" t="s">
        <v>0</v>
      </c>
      <c r="G249" s="18" t="s">
        <v>0</v>
      </c>
      <c r="H249" s="15" t="str">
        <f>IFERROR(PayGapsForMalesInRacialEthnicGroupsByOccupationalSeries[[#This Row],[ANHPI Male Employees]]/I$318,"")</f>
        <v/>
      </c>
      <c r="I249" s="16" t="s">
        <v>0</v>
      </c>
      <c r="J249" s="17" t="s">
        <v>0</v>
      </c>
      <c r="K249" s="18" t="s">
        <v>0</v>
      </c>
      <c r="L249" s="15" t="str">
        <f>IFERROR(PayGapsForMalesInRacialEthnicGroupsByOccupationalSeries[[#This Row],[Black Male Employees]]/M$318,"")</f>
        <v/>
      </c>
      <c r="M249" s="16" t="s">
        <v>0</v>
      </c>
      <c r="N249" s="17" t="s">
        <v>0</v>
      </c>
      <c r="O249" s="18" t="str">
        <f>IFERROR(PayGapsForMalesInRacialEthnicGroupsByOccupationalSeries[[#This Row],[Black Male Avg Salary]]/PayGapsForMalesInRacialEthnicGroupsByOccupationalSeries[[#This Row],[White Male Average Salary]],"")</f>
        <v/>
      </c>
      <c r="P249" s="15" t="str">
        <f>IFERROR(PayGapsForMalesInRacialEthnicGroupsByOccupationalSeries[[#This Row],[Hispanic Latino Male Employees]]/Q$318,"")</f>
        <v/>
      </c>
      <c r="Q249" s="16" t="s">
        <v>0</v>
      </c>
      <c r="R249" s="17" t="s">
        <v>0</v>
      </c>
      <c r="S24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49" s="15" t="str">
        <f>IFERROR(PayGapsForMalesInRacialEthnicGroupsByOccupationalSeries[[#This Row],[Other Male Employees]]/U$318,"")</f>
        <v/>
      </c>
      <c r="U249" s="16" t="s">
        <v>0</v>
      </c>
      <c r="V249" s="17" t="s">
        <v>0</v>
      </c>
      <c r="W24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50" spans="1:23" ht="15.6" x14ac:dyDescent="0.3">
      <c r="A250" s="4" t="s">
        <v>259</v>
      </c>
      <c r="B250" s="25">
        <v>169</v>
      </c>
      <c r="C250" s="26">
        <v>106076.00591716</v>
      </c>
      <c r="D250" s="15" t="str">
        <f>IFERROR(PayGapsForMalesInRacialEthnicGroupsByOccupationalSeries[[#This Row],[AIAN Male Employees]]/E$318,"")</f>
        <v/>
      </c>
      <c r="E250" s="16" t="s">
        <v>0</v>
      </c>
      <c r="F250" s="17" t="s">
        <v>0</v>
      </c>
      <c r="G250" s="18" t="s">
        <v>0</v>
      </c>
      <c r="H250" s="15" t="str">
        <f>IFERROR(PayGapsForMalesInRacialEthnicGroupsByOccupationalSeries[[#This Row],[ANHPI Male Employees]]/I$318,"")</f>
        <v/>
      </c>
      <c r="I250" s="16" t="s">
        <v>0</v>
      </c>
      <c r="J250" s="17" t="s">
        <v>0</v>
      </c>
      <c r="K250" s="18" t="s">
        <v>0</v>
      </c>
      <c r="L250" s="15">
        <f>IFERROR(PayGapsForMalesInRacialEthnicGroupsByOccupationalSeries[[#This Row],[Black Male Employees]]/M$318,"")</f>
        <v>2.5596928368595769E-4</v>
      </c>
      <c r="M250" s="16">
        <v>32</v>
      </c>
      <c r="N250" s="17">
        <v>110124.375</v>
      </c>
      <c r="O250" s="18">
        <f>IFERROR(PayGapsForMalesInRacialEthnicGroupsByOccupationalSeries[[#This Row],[Black Male Avg Salary]]/PayGapsForMalesInRacialEthnicGroupsByOccupationalSeries[[#This Row],[White Male Average Salary]],"")</f>
        <v>1.038164795590075</v>
      </c>
      <c r="P250" s="15" t="str">
        <f>IFERROR(PayGapsForMalesInRacialEthnicGroupsByOccupationalSeries[[#This Row],[Hispanic Latino Male Employees]]/Q$318,"")</f>
        <v/>
      </c>
      <c r="Q250" s="16" t="s">
        <v>0</v>
      </c>
      <c r="R250" s="17" t="s">
        <v>0</v>
      </c>
      <c r="S25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50" s="15" t="str">
        <f>IFERROR(PayGapsForMalesInRacialEthnicGroupsByOccupationalSeries[[#This Row],[Other Male Employees]]/U$318,"")</f>
        <v/>
      </c>
      <c r="U250" s="16" t="s">
        <v>0</v>
      </c>
      <c r="V250" s="17" t="s">
        <v>0</v>
      </c>
      <c r="W25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51" spans="1:23" ht="15.6" x14ac:dyDescent="0.3">
      <c r="A251" s="4" t="s">
        <v>260</v>
      </c>
      <c r="B251" s="25">
        <v>198</v>
      </c>
      <c r="C251" s="26">
        <v>107210.055555556</v>
      </c>
      <c r="D251" s="15" t="str">
        <f>IFERROR(PayGapsForMalesInRacialEthnicGroupsByOccupationalSeries[[#This Row],[AIAN Male Employees]]/E$318,"")</f>
        <v/>
      </c>
      <c r="E251" s="16" t="s">
        <v>0</v>
      </c>
      <c r="F251" s="17" t="s">
        <v>0</v>
      </c>
      <c r="G251" s="18" t="s">
        <v>0</v>
      </c>
      <c r="H251" s="15" t="str">
        <f>IFERROR(PayGapsForMalesInRacialEthnicGroupsByOccupationalSeries[[#This Row],[ANHPI Male Employees]]/I$318,"")</f>
        <v/>
      </c>
      <c r="I251" s="16" t="s">
        <v>0</v>
      </c>
      <c r="J251" s="17" t="s">
        <v>0</v>
      </c>
      <c r="K251" s="18" t="s">
        <v>0</v>
      </c>
      <c r="L251" s="15" t="str">
        <f>IFERROR(PayGapsForMalesInRacialEthnicGroupsByOccupationalSeries[[#This Row],[Black Male Employees]]/M$318,"")</f>
        <v/>
      </c>
      <c r="M251" s="16" t="s">
        <v>0</v>
      </c>
      <c r="N251" s="17" t="s">
        <v>0</v>
      </c>
      <c r="O251" s="18" t="str">
        <f>IFERROR(PayGapsForMalesInRacialEthnicGroupsByOccupationalSeries[[#This Row],[Black Male Avg Salary]]/PayGapsForMalesInRacialEthnicGroupsByOccupationalSeries[[#This Row],[White Male Average Salary]],"")</f>
        <v/>
      </c>
      <c r="P251" s="15" t="str">
        <f>IFERROR(PayGapsForMalesInRacialEthnicGroupsByOccupationalSeries[[#This Row],[Hispanic Latino Male Employees]]/Q$318,"")</f>
        <v/>
      </c>
      <c r="Q251" s="16" t="s">
        <v>0</v>
      </c>
      <c r="R251" s="17" t="s">
        <v>0</v>
      </c>
      <c r="S25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51" s="15" t="str">
        <f>IFERROR(PayGapsForMalesInRacialEthnicGroupsByOccupationalSeries[[#This Row],[Other Male Employees]]/U$318,"")</f>
        <v/>
      </c>
      <c r="U251" s="16" t="s">
        <v>0</v>
      </c>
      <c r="V251" s="17" t="s">
        <v>0</v>
      </c>
      <c r="W25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52" spans="1:23" ht="15.6" x14ac:dyDescent="0.3">
      <c r="A252" s="4" t="s">
        <v>261</v>
      </c>
      <c r="B252" s="25">
        <v>394</v>
      </c>
      <c r="C252" s="26">
        <v>62382.025380710998</v>
      </c>
      <c r="D252" s="15" t="str">
        <f>IFERROR(PayGapsForMalesInRacialEthnicGroupsByOccupationalSeries[[#This Row],[AIAN Male Employees]]/E$318,"")</f>
        <v/>
      </c>
      <c r="E252" s="16" t="s">
        <v>0</v>
      </c>
      <c r="F252" s="17" t="s">
        <v>0</v>
      </c>
      <c r="G252" s="18" t="s">
        <v>0</v>
      </c>
      <c r="H252" s="15" t="str">
        <f>IFERROR(PayGapsForMalesInRacialEthnicGroupsByOccupationalSeries[[#This Row],[ANHPI Male Employees]]/I$318,"")</f>
        <v/>
      </c>
      <c r="I252" s="16" t="s">
        <v>0</v>
      </c>
      <c r="J252" s="17" t="s">
        <v>0</v>
      </c>
      <c r="K252" s="18" t="s">
        <v>0</v>
      </c>
      <c r="L252" s="15">
        <f>IFERROR(PayGapsForMalesInRacialEthnicGroupsByOccupationalSeries[[#This Row],[Black Male Employees]]/M$318,"")</f>
        <v>1.623805143382794E-3</v>
      </c>
      <c r="M252" s="16">
        <v>203</v>
      </c>
      <c r="N252" s="17">
        <v>56650.497536946001</v>
      </c>
      <c r="O252" s="18">
        <f>IFERROR(PayGapsForMalesInRacialEthnicGroupsByOccupationalSeries[[#This Row],[Black Male Avg Salary]]/PayGapsForMalesInRacialEthnicGroupsByOccupationalSeries[[#This Row],[White Male Average Salary]],"")</f>
        <v>0.90812212638518741</v>
      </c>
      <c r="P252" s="15" t="str">
        <f>IFERROR(PayGapsForMalesInRacialEthnicGroupsByOccupationalSeries[[#This Row],[Hispanic Latino Male Employees]]/Q$318,"")</f>
        <v/>
      </c>
      <c r="Q252" s="16" t="s">
        <v>0</v>
      </c>
      <c r="R252" s="17" t="s">
        <v>0</v>
      </c>
      <c r="S25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52" s="15" t="str">
        <f>IFERROR(PayGapsForMalesInRacialEthnicGroupsByOccupationalSeries[[#This Row],[Other Male Employees]]/U$318,"")</f>
        <v/>
      </c>
      <c r="U252" s="16" t="s">
        <v>0</v>
      </c>
      <c r="V252" s="17" t="s">
        <v>0</v>
      </c>
      <c r="W25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53" spans="1:23" ht="31.2" x14ac:dyDescent="0.3">
      <c r="A253" s="4" t="s">
        <v>327</v>
      </c>
      <c r="B253" s="25">
        <v>72</v>
      </c>
      <c r="C253" s="26">
        <v>157140.15277777801</v>
      </c>
      <c r="D253" s="15" t="str">
        <f>IFERROR(PayGapsForMalesInRacialEthnicGroupsByOccupationalSeries[[#This Row],[AIAN Male Employees]]/E$318,"")</f>
        <v/>
      </c>
      <c r="E253" s="16" t="s">
        <v>0</v>
      </c>
      <c r="F253" s="17" t="s">
        <v>0</v>
      </c>
      <c r="G253" s="18"/>
      <c r="H253" s="15" t="str">
        <f>IFERROR(PayGapsForMalesInRacialEthnicGroupsByOccupationalSeries[[#This Row],[ANHPI Male Employees]]/I$318,"")</f>
        <v/>
      </c>
      <c r="I253" s="16" t="s">
        <v>0</v>
      </c>
      <c r="J253" s="17" t="s">
        <v>0</v>
      </c>
      <c r="K253" s="18"/>
      <c r="L253" s="15" t="str">
        <f>IFERROR(PayGapsForMalesInRacialEthnicGroupsByOccupationalSeries[[#This Row],[Black Male Employees]]/M$318,"")</f>
        <v/>
      </c>
      <c r="M253" s="16" t="s">
        <v>0</v>
      </c>
      <c r="N253" s="17" t="s">
        <v>0</v>
      </c>
      <c r="O253" s="18" t="str">
        <f>IFERROR(PayGapsForMalesInRacialEthnicGroupsByOccupationalSeries[[#This Row],[Black Male Avg Salary]]/PayGapsForMalesInRacialEthnicGroupsByOccupationalSeries[[#This Row],[White Male Average Salary]],"")</f>
        <v/>
      </c>
      <c r="P253" s="15" t="str">
        <f>IFERROR(PayGapsForMalesInRacialEthnicGroupsByOccupationalSeries[[#This Row],[Hispanic Latino Male Employees]]/Q$318,"")</f>
        <v/>
      </c>
      <c r="Q253" s="16" t="s">
        <v>0</v>
      </c>
      <c r="R253" s="17" t="s">
        <v>0</v>
      </c>
      <c r="S25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53" s="15" t="str">
        <f>IFERROR(PayGapsForMalesInRacialEthnicGroupsByOccupationalSeries[[#This Row],[Other Male Employees]]/U$318,"")</f>
        <v/>
      </c>
      <c r="U253" s="16" t="s">
        <v>0</v>
      </c>
      <c r="V253" s="17" t="s">
        <v>0</v>
      </c>
      <c r="W25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54" spans="1:23" ht="15.6" x14ac:dyDescent="0.3">
      <c r="A254" s="4" t="s">
        <v>262</v>
      </c>
      <c r="B254" s="25">
        <v>135</v>
      </c>
      <c r="C254" s="26">
        <v>146389.274074074</v>
      </c>
      <c r="D254" s="15" t="str">
        <f>IFERROR(PayGapsForMalesInRacialEthnicGroupsByOccupationalSeries[[#This Row],[AIAN Male Employees]]/E$318,"")</f>
        <v/>
      </c>
      <c r="E254" s="16" t="s">
        <v>0</v>
      </c>
      <c r="F254" s="17" t="s">
        <v>0</v>
      </c>
      <c r="G254" s="18" t="s">
        <v>0</v>
      </c>
      <c r="H254" s="15" t="str">
        <f>IFERROR(PayGapsForMalesInRacialEthnicGroupsByOccupationalSeries[[#This Row],[ANHPI Male Employees]]/I$318,"")</f>
        <v/>
      </c>
      <c r="I254" s="16" t="s">
        <v>0</v>
      </c>
      <c r="J254" s="17" t="s">
        <v>0</v>
      </c>
      <c r="K254" s="18" t="s">
        <v>0</v>
      </c>
      <c r="L254" s="15" t="str">
        <f>IFERROR(PayGapsForMalesInRacialEthnicGroupsByOccupationalSeries[[#This Row],[Black Male Employees]]/M$318,"")</f>
        <v/>
      </c>
      <c r="M254" s="16" t="s">
        <v>0</v>
      </c>
      <c r="N254" s="17" t="s">
        <v>0</v>
      </c>
      <c r="O254" s="18" t="str">
        <f>IFERROR(PayGapsForMalesInRacialEthnicGroupsByOccupationalSeries[[#This Row],[Black Male Avg Salary]]/PayGapsForMalesInRacialEthnicGroupsByOccupationalSeries[[#This Row],[White Male Average Salary]],"")</f>
        <v/>
      </c>
      <c r="P254" s="15" t="str">
        <f>IFERROR(PayGapsForMalesInRacialEthnicGroupsByOccupationalSeries[[#This Row],[Hispanic Latino Male Employees]]/Q$318,"")</f>
        <v/>
      </c>
      <c r="Q254" s="16" t="s">
        <v>0</v>
      </c>
      <c r="R254" s="17" t="s">
        <v>0</v>
      </c>
      <c r="S25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54" s="15" t="str">
        <f>IFERROR(PayGapsForMalesInRacialEthnicGroupsByOccupationalSeries[[#This Row],[Other Male Employees]]/U$318,"")</f>
        <v/>
      </c>
      <c r="U254" s="16" t="s">
        <v>0</v>
      </c>
      <c r="V254" s="17" t="s">
        <v>0</v>
      </c>
      <c r="W25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55" spans="1:23" ht="15.6" x14ac:dyDescent="0.3">
      <c r="A255" s="4" t="s">
        <v>263</v>
      </c>
      <c r="B255" s="25">
        <v>2871</v>
      </c>
      <c r="C255" s="26">
        <v>129101.532055749</v>
      </c>
      <c r="D255" s="15" t="str">
        <f>IFERROR(PayGapsForMalesInRacialEthnicGroupsByOccupationalSeries[[#This Row],[AIAN Male Employees]]/E$318,"")</f>
        <v/>
      </c>
      <c r="E255" s="16" t="s">
        <v>0</v>
      </c>
      <c r="F255" s="17" t="s">
        <v>0</v>
      </c>
      <c r="G255" s="18" t="s">
        <v>0</v>
      </c>
      <c r="H255" s="15">
        <f>IFERROR(PayGapsForMalesInRacialEthnicGroupsByOccupationalSeries[[#This Row],[ANHPI Male Employees]]/I$318,"")</f>
        <v>3.9516715116279071E-3</v>
      </c>
      <c r="I255" s="16">
        <v>261</v>
      </c>
      <c r="J255" s="17">
        <v>132473.26819923401</v>
      </c>
      <c r="K255" s="18">
        <f>PayGapsForMalesInRacialEthnicGroupsByOccupationalSeries[[#This Row],[ANHPI Male Avg Salary]]/PayGapsForMalesInRacialEthnicGroupsByOccupationalSeries[[#This Row],[White Male Average Salary]]</f>
        <v>1.0261169336242193</v>
      </c>
      <c r="L255" s="15">
        <f>IFERROR(PayGapsForMalesInRacialEthnicGroupsByOccupationalSeries[[#This Row],[Black Male Employees]]/M$318,"")</f>
        <v>1.6398032236131664E-3</v>
      </c>
      <c r="M255" s="16">
        <v>205</v>
      </c>
      <c r="N255" s="17">
        <v>124798.146341463</v>
      </c>
      <c r="O255" s="18">
        <f>IFERROR(PayGapsForMalesInRacialEthnicGroupsByOccupationalSeries[[#This Row],[Black Male Avg Salary]]/PayGapsForMalesInRacialEthnicGroupsByOccupationalSeries[[#This Row],[White Male Average Salary]],"")</f>
        <v>0.96666665650080974</v>
      </c>
      <c r="P255" s="15">
        <f>IFERROR(PayGapsForMalesInRacialEthnicGroupsByOccupationalSeries[[#This Row],[Hispanic Latino Male Employees]]/Q$318,"")</f>
        <v>1.9922141020298221E-3</v>
      </c>
      <c r="Q255" s="16">
        <v>196</v>
      </c>
      <c r="R255" s="17">
        <v>116976.38265306099</v>
      </c>
      <c r="S255" s="18">
        <f>IFERROR(PayGapsForMalesInRacialEthnicGroupsByOccupationalSeries[[#This Row],[Hispanic Latino Male Avg Salary]]/PayGapsForMalesInRacialEthnicGroupsByOccupationalSeries[[#This Row],[White Male Average Salary]],"")</f>
        <v>0.90608051500541376</v>
      </c>
      <c r="T255" s="15">
        <f>IFERROR(PayGapsForMalesInRacialEthnicGroupsByOccupationalSeries[[#This Row],[Other Male Employees]]/U$318,"")</f>
        <v>5.2637011043451341E-3</v>
      </c>
      <c r="U255" s="16">
        <v>102</v>
      </c>
      <c r="V255" s="17">
        <v>120966.990196078</v>
      </c>
      <c r="W255" s="18">
        <f>IFERROR(PayGapsForMalesInRacialEthnicGroupsByOccupationalSeries[[#This Row],[Other Male Avg Salary]]/PayGapsForMalesInRacialEthnicGroupsByOccupationalSeries[[#This Row],[White Male Average Salary]],"")</f>
        <v>0.93699112837670795</v>
      </c>
    </row>
    <row r="256" spans="1:23" ht="15.6" x14ac:dyDescent="0.3">
      <c r="A256" s="4" t="s">
        <v>264</v>
      </c>
      <c r="B256" s="25">
        <v>472</v>
      </c>
      <c r="C256" s="26">
        <v>124504.944915254</v>
      </c>
      <c r="D256" s="15" t="str">
        <f>IFERROR(PayGapsForMalesInRacialEthnicGroupsByOccupationalSeries[[#This Row],[AIAN Male Employees]]/E$318,"")</f>
        <v/>
      </c>
      <c r="E256" s="16" t="s">
        <v>0</v>
      </c>
      <c r="F256" s="17" t="s">
        <v>0</v>
      </c>
      <c r="G256" s="18" t="s">
        <v>0</v>
      </c>
      <c r="H256" s="15" t="str">
        <f>IFERROR(PayGapsForMalesInRacialEthnicGroupsByOccupationalSeries[[#This Row],[ANHPI Male Employees]]/I$318,"")</f>
        <v/>
      </c>
      <c r="I256" s="16" t="s">
        <v>0</v>
      </c>
      <c r="J256" s="17" t="s">
        <v>0</v>
      </c>
      <c r="K256" s="18" t="s">
        <v>0</v>
      </c>
      <c r="L256" s="15" t="str">
        <f>IFERROR(PayGapsForMalesInRacialEthnicGroupsByOccupationalSeries[[#This Row],[Black Male Employees]]/M$318,"")</f>
        <v/>
      </c>
      <c r="M256" s="16" t="s">
        <v>0</v>
      </c>
      <c r="N256" s="17" t="s">
        <v>0</v>
      </c>
      <c r="O256" s="18" t="str">
        <f>IFERROR(PayGapsForMalesInRacialEthnicGroupsByOccupationalSeries[[#This Row],[Black Male Avg Salary]]/PayGapsForMalesInRacialEthnicGroupsByOccupationalSeries[[#This Row],[White Male Average Salary]],"")</f>
        <v/>
      </c>
      <c r="P256" s="15" t="str">
        <f>IFERROR(PayGapsForMalesInRacialEthnicGroupsByOccupationalSeries[[#This Row],[Hispanic Latino Male Employees]]/Q$318,"")</f>
        <v/>
      </c>
      <c r="Q256" s="16" t="s">
        <v>0</v>
      </c>
      <c r="R256" s="17" t="s">
        <v>0</v>
      </c>
      <c r="S25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56" s="15" t="str">
        <f>IFERROR(PayGapsForMalesInRacialEthnicGroupsByOccupationalSeries[[#This Row],[Other Male Employees]]/U$318,"")</f>
        <v/>
      </c>
      <c r="U256" s="16" t="s">
        <v>0</v>
      </c>
      <c r="V256" s="17" t="s">
        <v>0</v>
      </c>
      <c r="W25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57" spans="1:23" ht="15.6" x14ac:dyDescent="0.3">
      <c r="A257" s="4" t="s">
        <v>265</v>
      </c>
      <c r="B257" s="25">
        <v>495</v>
      </c>
      <c r="C257" s="26">
        <v>134421.74545454499</v>
      </c>
      <c r="D257" s="15" t="str">
        <f>IFERROR(PayGapsForMalesInRacialEthnicGroupsByOccupationalSeries[[#This Row],[AIAN Male Employees]]/E$318,"")</f>
        <v/>
      </c>
      <c r="E257" s="16" t="s">
        <v>0</v>
      </c>
      <c r="F257" s="17" t="s">
        <v>0</v>
      </c>
      <c r="G257" s="18" t="s">
        <v>0</v>
      </c>
      <c r="H257" s="15">
        <f>IFERROR(PayGapsForMalesInRacialEthnicGroupsByOccupationalSeries[[#This Row],[ANHPI Male Employees]]/I$318,"")</f>
        <v>2.3921996124031007E-3</v>
      </c>
      <c r="I257" s="16">
        <v>158</v>
      </c>
      <c r="J257" s="17">
        <v>139909.90506329099</v>
      </c>
      <c r="K257" s="18">
        <f>PayGapsForMalesInRacialEthnicGroupsByOccupationalSeries[[#This Row],[ANHPI Male Avg Salary]]/PayGapsForMalesInRacialEthnicGroupsByOccupationalSeries[[#This Row],[White Male Average Salary]]</f>
        <v>1.0408279150831428</v>
      </c>
      <c r="L257" s="15">
        <f>IFERROR(PayGapsForMalesInRacialEthnicGroupsByOccupationalSeries[[#This Row],[Black Male Employees]]/M$318,"")</f>
        <v>4.399472063352398E-4</v>
      </c>
      <c r="M257" s="16">
        <v>55</v>
      </c>
      <c r="N257" s="17">
        <v>126549.727272727</v>
      </c>
      <c r="O257" s="18">
        <f>IFERROR(PayGapsForMalesInRacialEthnicGroupsByOccupationalSeries[[#This Row],[Black Male Avg Salary]]/PayGapsForMalesInRacialEthnicGroupsByOccupationalSeries[[#This Row],[White Male Average Salary]],"")</f>
        <v>0.94143791129032817</v>
      </c>
      <c r="P257" s="15" t="str">
        <f>IFERROR(PayGapsForMalesInRacialEthnicGroupsByOccupationalSeries[[#This Row],[Hispanic Latino Male Employees]]/Q$318,"")</f>
        <v/>
      </c>
      <c r="Q257" s="16" t="s">
        <v>0</v>
      </c>
      <c r="R257" s="17" t="s">
        <v>0</v>
      </c>
      <c r="S257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57" s="15" t="str">
        <f>IFERROR(PayGapsForMalesInRacialEthnicGroupsByOccupationalSeries[[#This Row],[Other Male Employees]]/U$318,"")</f>
        <v/>
      </c>
      <c r="U257" s="16" t="s">
        <v>0</v>
      </c>
      <c r="V257" s="17" t="s">
        <v>0</v>
      </c>
      <c r="W25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58" spans="1:23" ht="15.6" x14ac:dyDescent="0.3">
      <c r="A258" s="4" t="s">
        <v>266</v>
      </c>
      <c r="B258" s="25">
        <v>1104</v>
      </c>
      <c r="C258" s="26">
        <v>123766.067028986</v>
      </c>
      <c r="D258" s="15" t="str">
        <f>IFERROR(PayGapsForMalesInRacialEthnicGroupsByOccupationalSeries[[#This Row],[AIAN Male Employees]]/E$318,"")</f>
        <v/>
      </c>
      <c r="E258" s="16" t="s">
        <v>0</v>
      </c>
      <c r="F258" s="17" t="s">
        <v>0</v>
      </c>
      <c r="G258" s="18" t="s">
        <v>0</v>
      </c>
      <c r="H258" s="15">
        <f>IFERROR(PayGapsForMalesInRacialEthnicGroupsByOccupationalSeries[[#This Row],[ANHPI Male Employees]]/I$318,"")</f>
        <v>2.4376211240310077E-3</v>
      </c>
      <c r="I258" s="16">
        <v>161</v>
      </c>
      <c r="J258" s="17">
        <v>119797.29192546599</v>
      </c>
      <c r="K258" s="18">
        <f>PayGapsForMalesInRacialEthnicGroupsByOccupationalSeries[[#This Row],[ANHPI Male Avg Salary]]/PayGapsForMalesInRacialEthnicGroupsByOccupationalSeries[[#This Row],[White Male Average Salary]]</f>
        <v>0.96793325344506165</v>
      </c>
      <c r="L258" s="15">
        <f>IFERROR(PayGapsForMalesInRacialEthnicGroupsByOccupationalSeries[[#This Row],[Black Male Employees]]/M$318,"")</f>
        <v>1.7837859456865176E-3</v>
      </c>
      <c r="M258" s="16">
        <v>223</v>
      </c>
      <c r="N258" s="17">
        <v>115471.97309417</v>
      </c>
      <c r="O258" s="18">
        <f>IFERROR(PayGapsForMalesInRacialEthnicGroupsByOccupationalSeries[[#This Row],[Black Male Avg Salary]]/PayGapsForMalesInRacialEthnicGroupsByOccupationalSeries[[#This Row],[White Male Average Salary]],"")</f>
        <v>0.93298571947936648</v>
      </c>
      <c r="P258" s="15">
        <f>IFERROR(PayGapsForMalesInRacialEthnicGroupsByOccupationalSeries[[#This Row],[Hispanic Latino Male Employees]]/Q$318,"")</f>
        <v>9.7577833568807614E-4</v>
      </c>
      <c r="Q258" s="16">
        <v>96</v>
      </c>
      <c r="R258" s="17">
        <v>112192.0625</v>
      </c>
      <c r="S258" s="18">
        <f>IFERROR(PayGapsForMalesInRacialEthnicGroupsByOccupationalSeries[[#This Row],[Hispanic Latino Male Avg Salary]]/PayGapsForMalesInRacialEthnicGroupsByOccupationalSeries[[#This Row],[White Male Average Salary]],"")</f>
        <v>0.90648483217718012</v>
      </c>
      <c r="T258" s="15" t="str">
        <f>IFERROR(PayGapsForMalesInRacialEthnicGroupsByOccupationalSeries[[#This Row],[Other Male Employees]]/U$318,"")</f>
        <v/>
      </c>
      <c r="U258" s="16" t="s">
        <v>0</v>
      </c>
      <c r="V258" s="17" t="s">
        <v>0</v>
      </c>
      <c r="W25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59" spans="1:23" ht="15.6" x14ac:dyDescent="0.3">
      <c r="A259" s="4" t="s">
        <v>267</v>
      </c>
      <c r="B259" s="25">
        <v>62</v>
      </c>
      <c r="C259" s="26">
        <v>50432.645161289998</v>
      </c>
      <c r="D259" s="15" t="str">
        <f>IFERROR(PayGapsForMalesInRacialEthnicGroupsByOccupationalSeries[[#This Row],[AIAN Male Employees]]/E$318,"")</f>
        <v/>
      </c>
      <c r="E259" s="16" t="s">
        <v>0</v>
      </c>
      <c r="F259" s="17" t="s">
        <v>0</v>
      </c>
      <c r="G259" s="18" t="s">
        <v>0</v>
      </c>
      <c r="H259" s="15" t="str">
        <f>IFERROR(PayGapsForMalesInRacialEthnicGroupsByOccupationalSeries[[#This Row],[ANHPI Male Employees]]/I$318,"")</f>
        <v/>
      </c>
      <c r="I259" s="16" t="s">
        <v>0</v>
      </c>
      <c r="J259" s="17" t="s">
        <v>0</v>
      </c>
      <c r="K259" s="18" t="s">
        <v>0</v>
      </c>
      <c r="L259" s="15" t="str">
        <f>IFERROR(PayGapsForMalesInRacialEthnicGroupsByOccupationalSeries[[#This Row],[Black Male Employees]]/M$318,"")</f>
        <v/>
      </c>
      <c r="M259" s="16" t="s">
        <v>0</v>
      </c>
      <c r="N259" s="17" t="s">
        <v>0</v>
      </c>
      <c r="O259" s="18" t="str">
        <f>IFERROR(PayGapsForMalesInRacialEthnicGroupsByOccupationalSeries[[#This Row],[Black Male Avg Salary]]/PayGapsForMalesInRacialEthnicGroupsByOccupationalSeries[[#This Row],[White Male Average Salary]],"")</f>
        <v/>
      </c>
      <c r="P259" s="15" t="str">
        <f>IFERROR(PayGapsForMalesInRacialEthnicGroupsByOccupationalSeries[[#This Row],[Hispanic Latino Male Employees]]/Q$318,"")</f>
        <v/>
      </c>
      <c r="Q259" s="16" t="s">
        <v>0</v>
      </c>
      <c r="R259" s="17" t="s">
        <v>0</v>
      </c>
      <c r="S25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59" s="15" t="str">
        <f>IFERROR(PayGapsForMalesInRacialEthnicGroupsByOccupationalSeries[[#This Row],[Other Male Employees]]/U$318,"")</f>
        <v/>
      </c>
      <c r="U259" s="16" t="s">
        <v>0</v>
      </c>
      <c r="V259" s="17" t="s">
        <v>0</v>
      </c>
      <c r="W25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60" spans="1:23" ht="15.6" x14ac:dyDescent="0.3">
      <c r="A260" s="4" t="s">
        <v>268</v>
      </c>
      <c r="B260" s="25">
        <v>5208</v>
      </c>
      <c r="C260" s="26">
        <v>114235.28788169799</v>
      </c>
      <c r="D260" s="15" t="str">
        <f>IFERROR(PayGapsForMalesInRacialEthnicGroupsByOccupationalSeries[[#This Row],[AIAN Male Employees]]/E$318,"")</f>
        <v/>
      </c>
      <c r="E260" s="16" t="s">
        <v>0</v>
      </c>
      <c r="F260" s="17" t="s">
        <v>0</v>
      </c>
      <c r="G260" s="18" t="s">
        <v>0</v>
      </c>
      <c r="H260" s="15">
        <f>IFERROR(PayGapsForMalesInRacialEthnicGroupsByOccupationalSeries[[#This Row],[ANHPI Male Employees]]/I$318,"")</f>
        <v>1.5942950581395349E-2</v>
      </c>
      <c r="I260" s="16">
        <v>1053</v>
      </c>
      <c r="J260" s="17">
        <v>118057.933523267</v>
      </c>
      <c r="K260" s="18">
        <f>PayGapsForMalesInRacialEthnicGroupsByOccupationalSeries[[#This Row],[ANHPI Male Avg Salary]]/PayGapsForMalesInRacialEthnicGroupsByOccupationalSeries[[#This Row],[White Male Average Salary]]</f>
        <v>1.0334629142400178</v>
      </c>
      <c r="L260" s="15">
        <f>IFERROR(PayGapsForMalesInRacialEthnicGroupsByOccupationalSeries[[#This Row],[Black Male Employees]]/M$318,"")</f>
        <v>3.9915210174779024E-3</v>
      </c>
      <c r="M260" s="16">
        <v>499</v>
      </c>
      <c r="N260" s="17">
        <v>107776.51302605199</v>
      </c>
      <c r="O260" s="18">
        <f>IFERROR(PayGapsForMalesInRacialEthnicGroupsByOccupationalSeries[[#This Row],[Black Male Avg Salary]]/PayGapsForMalesInRacialEthnicGroupsByOccupationalSeries[[#This Row],[White Male Average Salary]],"")</f>
        <v>0.943460773151509</v>
      </c>
      <c r="P260" s="15">
        <f>IFERROR(PayGapsForMalesInRacialEthnicGroupsByOccupationalSeries[[#This Row],[Hispanic Latino Male Employees]]/Q$318,"")</f>
        <v>4.126729211347489E-3</v>
      </c>
      <c r="Q260" s="16">
        <v>406</v>
      </c>
      <c r="R260" s="17">
        <v>106682.716049383</v>
      </c>
      <c r="S260" s="18">
        <f>IFERROR(PayGapsForMalesInRacialEthnicGroupsByOccupationalSeries[[#This Row],[Hispanic Latino Male Avg Salary]]/PayGapsForMalesInRacialEthnicGroupsByOccupationalSeries[[#This Row],[White Male Average Salary]],"")</f>
        <v>0.933885824841301</v>
      </c>
      <c r="T260" s="15">
        <f>IFERROR(PayGapsForMalesInRacialEthnicGroupsByOccupationalSeries[[#This Row],[Other Male Employees]]/U$318,"")</f>
        <v>9.7017236040871091E-3</v>
      </c>
      <c r="U260" s="16">
        <v>188</v>
      </c>
      <c r="V260" s="17">
        <v>103960.271276596</v>
      </c>
      <c r="W260" s="18">
        <f>IFERROR(PayGapsForMalesInRacialEthnicGroupsByOccupationalSeries[[#This Row],[Other Male Avg Salary]]/PayGapsForMalesInRacialEthnicGroupsByOccupationalSeries[[#This Row],[White Male Average Salary]],"")</f>
        <v>0.91005391770235833</v>
      </c>
    </row>
    <row r="261" spans="1:23" ht="31.2" x14ac:dyDescent="0.3">
      <c r="A261" s="4" t="s">
        <v>269</v>
      </c>
      <c r="B261" s="25">
        <v>3598</v>
      </c>
      <c r="C261" s="26">
        <v>99949.842324804995</v>
      </c>
      <c r="D261" s="15" t="str">
        <f>IFERROR(PayGapsForMalesInRacialEthnicGroupsByOccupationalSeries[[#This Row],[AIAN Male Employees]]/E$318,"")</f>
        <v/>
      </c>
      <c r="E261" s="16" t="s">
        <v>0</v>
      </c>
      <c r="F261" s="17" t="s">
        <v>0</v>
      </c>
      <c r="G261" s="18" t="s">
        <v>0</v>
      </c>
      <c r="H261" s="15">
        <f>IFERROR(PayGapsForMalesInRacialEthnicGroupsByOccupationalSeries[[#This Row],[ANHPI Male Employees]]/I$318,"")</f>
        <v>4.3453246124031007E-3</v>
      </c>
      <c r="I261" s="16">
        <v>287</v>
      </c>
      <c r="J261" s="17">
        <v>101318.240418118</v>
      </c>
      <c r="K261" s="18">
        <f>PayGapsForMalesInRacialEthnicGroupsByOccupationalSeries[[#This Row],[ANHPI Male Avg Salary]]/PayGapsForMalesInRacialEthnicGroupsByOccupationalSeries[[#This Row],[White Male Average Salary]]</f>
        <v>1.0136908479441733</v>
      </c>
      <c r="L261" s="15">
        <f>IFERROR(PayGapsForMalesInRacialEthnicGroupsByOccupationalSeries[[#This Row],[Black Male Employees]]/M$318,"")</f>
        <v>4.6314442266927967E-3</v>
      </c>
      <c r="M261" s="16">
        <v>579</v>
      </c>
      <c r="N261" s="17">
        <v>92549.853195164003</v>
      </c>
      <c r="O261" s="18">
        <f>IFERROR(PayGapsForMalesInRacialEthnicGroupsByOccupationalSeries[[#This Row],[Black Male Avg Salary]]/PayGapsForMalesInRacialEthnicGroupsByOccupationalSeries[[#This Row],[White Male Average Salary]],"")</f>
        <v>0.92596297345229028</v>
      </c>
      <c r="P261" s="15">
        <f>IFERROR(PayGapsForMalesInRacialEthnicGroupsByOccupationalSeries[[#This Row],[Hispanic Latino Male Employees]]/Q$318,"")</f>
        <v>3.0188142260349857E-3</v>
      </c>
      <c r="Q261" s="16">
        <v>297</v>
      </c>
      <c r="R261" s="17">
        <v>93226.835016835001</v>
      </c>
      <c r="S261" s="18">
        <f>IFERROR(PayGapsForMalesInRacialEthnicGroupsByOccupationalSeries[[#This Row],[Hispanic Latino Male Avg Salary]]/PayGapsForMalesInRacialEthnicGroupsByOccupationalSeries[[#This Row],[White Male Average Salary]],"")</f>
        <v>0.93273618895643307</v>
      </c>
      <c r="T261" s="15">
        <f>IFERROR(PayGapsForMalesInRacialEthnicGroupsByOccupationalSeries[[#This Row],[Other Male Employees]]/U$318,"")</f>
        <v>4.3348126741665806E-3</v>
      </c>
      <c r="U261" s="16">
        <v>84</v>
      </c>
      <c r="V261" s="17">
        <v>97256.904761904996</v>
      </c>
      <c r="W261" s="18">
        <f>IFERROR(PayGapsForMalesInRacialEthnicGroupsByOccupationalSeries[[#This Row],[Other Male Avg Salary]]/PayGapsForMalesInRacialEthnicGroupsByOccupationalSeries[[#This Row],[White Male Average Salary]],"")</f>
        <v>0.97305711044396836</v>
      </c>
    </row>
    <row r="262" spans="1:23" ht="31.2" x14ac:dyDescent="0.3">
      <c r="A262" s="4" t="s">
        <v>270</v>
      </c>
      <c r="B262" s="25">
        <v>187</v>
      </c>
      <c r="C262" s="26">
        <v>56234.802139036998</v>
      </c>
      <c r="D262" s="15" t="str">
        <f>IFERROR(PayGapsForMalesInRacialEthnicGroupsByOccupationalSeries[[#This Row],[AIAN Male Employees]]/E$318,"")</f>
        <v/>
      </c>
      <c r="E262" s="16" t="s">
        <v>0</v>
      </c>
      <c r="F262" s="17" t="s">
        <v>0</v>
      </c>
      <c r="G262" s="18" t="s">
        <v>0</v>
      </c>
      <c r="H262" s="15" t="str">
        <f>IFERROR(PayGapsForMalesInRacialEthnicGroupsByOccupationalSeries[[#This Row],[ANHPI Male Employees]]/I$318,"")</f>
        <v/>
      </c>
      <c r="I262" s="16" t="s">
        <v>0</v>
      </c>
      <c r="J262" s="17" t="s">
        <v>0</v>
      </c>
      <c r="K262" s="18" t="s">
        <v>0</v>
      </c>
      <c r="L262" s="15">
        <f>IFERROR(PayGapsForMalesInRacialEthnicGroupsByOccupationalSeries[[#This Row],[Black Male Employees]]/M$318,"")</f>
        <v>4.7194336679598449E-4</v>
      </c>
      <c r="M262" s="16">
        <v>59</v>
      </c>
      <c r="N262" s="17">
        <v>56821.406779661003</v>
      </c>
      <c r="O262" s="18">
        <f>IFERROR(PayGapsForMalesInRacialEthnicGroupsByOccupationalSeries[[#This Row],[Black Male Avg Salary]]/PayGapsForMalesInRacialEthnicGroupsByOccupationalSeries[[#This Row],[White Male Average Salary]],"")</f>
        <v>1.0104313453290663</v>
      </c>
      <c r="P262" s="15" t="str">
        <f>IFERROR(PayGapsForMalesInRacialEthnicGroupsByOccupationalSeries[[#This Row],[Hispanic Latino Male Employees]]/Q$318,"")</f>
        <v/>
      </c>
      <c r="Q262" s="16" t="s">
        <v>0</v>
      </c>
      <c r="R262" s="17" t="s">
        <v>0</v>
      </c>
      <c r="S26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62" s="15" t="str">
        <f>IFERROR(PayGapsForMalesInRacialEthnicGroupsByOccupationalSeries[[#This Row],[Other Male Employees]]/U$318,"")</f>
        <v/>
      </c>
      <c r="U262" s="16" t="s">
        <v>0</v>
      </c>
      <c r="V262" s="17" t="s">
        <v>0</v>
      </c>
      <c r="W26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63" spans="1:23" ht="31.2" x14ac:dyDescent="0.3">
      <c r="A263" s="4" t="s">
        <v>271</v>
      </c>
      <c r="B263" s="25">
        <v>163</v>
      </c>
      <c r="C263" s="26">
        <v>82583.085889570997</v>
      </c>
      <c r="D263" s="15" t="str">
        <f>IFERROR(PayGapsForMalesInRacialEthnicGroupsByOccupationalSeries[[#This Row],[AIAN Male Employees]]/E$318,"")</f>
        <v/>
      </c>
      <c r="E263" s="16" t="s">
        <v>0</v>
      </c>
      <c r="F263" s="17" t="s">
        <v>0</v>
      </c>
      <c r="G263" s="18" t="s">
        <v>0</v>
      </c>
      <c r="H263" s="15" t="str">
        <f>IFERROR(PayGapsForMalesInRacialEthnicGroupsByOccupationalSeries[[#This Row],[ANHPI Male Employees]]/I$318,"")</f>
        <v/>
      </c>
      <c r="I263" s="16" t="s">
        <v>0</v>
      </c>
      <c r="J263" s="17" t="s">
        <v>0</v>
      </c>
      <c r="K263" s="18" t="s">
        <v>0</v>
      </c>
      <c r="L263" s="15" t="str">
        <f>IFERROR(PayGapsForMalesInRacialEthnicGroupsByOccupationalSeries[[#This Row],[Black Male Employees]]/M$318,"")</f>
        <v/>
      </c>
      <c r="M263" s="16" t="s">
        <v>0</v>
      </c>
      <c r="N263" s="17" t="s">
        <v>0</v>
      </c>
      <c r="O263" s="18" t="str">
        <f>IFERROR(PayGapsForMalesInRacialEthnicGroupsByOccupationalSeries[[#This Row],[Black Male Avg Salary]]/PayGapsForMalesInRacialEthnicGroupsByOccupationalSeries[[#This Row],[White Male Average Salary]],"")</f>
        <v/>
      </c>
      <c r="P263" s="15" t="str">
        <f>IFERROR(PayGapsForMalesInRacialEthnicGroupsByOccupationalSeries[[#This Row],[Hispanic Latino Male Employees]]/Q$318,"")</f>
        <v/>
      </c>
      <c r="Q263" s="16" t="s">
        <v>0</v>
      </c>
      <c r="R263" s="17" t="s">
        <v>0</v>
      </c>
      <c r="S26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63" s="15" t="str">
        <f>IFERROR(PayGapsForMalesInRacialEthnicGroupsByOccupationalSeries[[#This Row],[Other Male Employees]]/U$318,"")</f>
        <v/>
      </c>
      <c r="U263" s="16" t="s">
        <v>0</v>
      </c>
      <c r="V263" s="17" t="s">
        <v>0</v>
      </c>
      <c r="W26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64" spans="1:23" ht="15.6" x14ac:dyDescent="0.3">
      <c r="A264" s="4" t="s">
        <v>272</v>
      </c>
      <c r="B264" s="25">
        <v>2093</v>
      </c>
      <c r="C264" s="26">
        <v>95982.352603918</v>
      </c>
      <c r="D264" s="15" t="str">
        <f>IFERROR(PayGapsForMalesInRacialEthnicGroupsByOccupationalSeries[[#This Row],[AIAN Male Employees]]/E$318,"")</f>
        <v/>
      </c>
      <c r="E264" s="16" t="s">
        <v>0</v>
      </c>
      <c r="F264" s="17" t="s">
        <v>0</v>
      </c>
      <c r="G264" s="18" t="s">
        <v>0</v>
      </c>
      <c r="H264" s="15">
        <f>IFERROR(PayGapsForMalesInRacialEthnicGroupsByOccupationalSeries[[#This Row],[ANHPI Male Employees]]/I$318,"")</f>
        <v>1.6957364341085271E-3</v>
      </c>
      <c r="I264" s="16">
        <v>112</v>
      </c>
      <c r="J264" s="17">
        <v>91933.607142856999</v>
      </c>
      <c r="K264" s="18">
        <f>PayGapsForMalesInRacialEthnicGroupsByOccupationalSeries[[#This Row],[ANHPI Male Avg Salary]]/PayGapsForMalesInRacialEthnicGroupsByOccupationalSeries[[#This Row],[White Male Average Salary]]</f>
        <v>0.95781781388742782</v>
      </c>
      <c r="L264" s="15">
        <f>IFERROR(PayGapsForMalesInRacialEthnicGroupsByOccupationalSeries[[#This Row],[Black Male Employees]]/M$318,"")</f>
        <v>2.6236851577810662E-3</v>
      </c>
      <c r="M264" s="16">
        <v>328</v>
      </c>
      <c r="N264" s="17">
        <v>97667.960244647998</v>
      </c>
      <c r="O264" s="18">
        <f>IFERROR(PayGapsForMalesInRacialEthnicGroupsByOccupationalSeries[[#This Row],[Black Male Avg Salary]]/PayGapsForMalesInRacialEthnicGroupsByOccupationalSeries[[#This Row],[White Male Average Salary]],"")</f>
        <v>1.0175616412288397</v>
      </c>
      <c r="P264" s="15">
        <f>IFERROR(PayGapsForMalesInRacialEthnicGroupsByOccupationalSeries[[#This Row],[Hispanic Latino Male Employees]]/Q$318,"")</f>
        <v>2.1650081823079191E-3</v>
      </c>
      <c r="Q264" s="16">
        <v>213</v>
      </c>
      <c r="R264" s="17">
        <v>91570.638497652995</v>
      </c>
      <c r="S264" s="18">
        <f>IFERROR(PayGapsForMalesInRacialEthnicGroupsByOccupationalSeries[[#This Row],[Hispanic Latino Male Avg Salary]]/PayGapsForMalesInRacialEthnicGroupsByOccupationalSeries[[#This Row],[White Male Average Salary]],"")</f>
        <v>0.95403619533613182</v>
      </c>
      <c r="T264" s="15" t="str">
        <f>IFERROR(PayGapsForMalesInRacialEthnicGroupsByOccupationalSeries[[#This Row],[Other Male Employees]]/U$318,"")</f>
        <v/>
      </c>
      <c r="U264" s="16" t="s">
        <v>0</v>
      </c>
      <c r="V264" s="17" t="s">
        <v>0</v>
      </c>
      <c r="W26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65" spans="1:23" ht="15.6" x14ac:dyDescent="0.3">
      <c r="A265" s="4" t="s">
        <v>273</v>
      </c>
      <c r="B265" s="25">
        <v>78</v>
      </c>
      <c r="C265" s="26">
        <v>103389.512820513</v>
      </c>
      <c r="D265" s="15" t="str">
        <f>IFERROR(PayGapsForMalesInRacialEthnicGroupsByOccupationalSeries[[#This Row],[AIAN Male Employees]]/E$318,"")</f>
        <v/>
      </c>
      <c r="E265" s="16" t="s">
        <v>0</v>
      </c>
      <c r="F265" s="17" t="s">
        <v>0</v>
      </c>
      <c r="G265" s="18" t="s">
        <v>0</v>
      </c>
      <c r="H265" s="15" t="str">
        <f>IFERROR(PayGapsForMalesInRacialEthnicGroupsByOccupationalSeries[[#This Row],[ANHPI Male Employees]]/I$318,"")</f>
        <v/>
      </c>
      <c r="I265" s="16" t="s">
        <v>0</v>
      </c>
      <c r="J265" s="17" t="s">
        <v>0</v>
      </c>
      <c r="K265" s="18" t="s">
        <v>0</v>
      </c>
      <c r="L265" s="15" t="str">
        <f>IFERROR(PayGapsForMalesInRacialEthnicGroupsByOccupationalSeries[[#This Row],[Black Male Employees]]/M$318,"")</f>
        <v/>
      </c>
      <c r="M265" s="16" t="s">
        <v>0</v>
      </c>
      <c r="N265" s="17" t="s">
        <v>0</v>
      </c>
      <c r="O265" s="18" t="str">
        <f>IFERROR(PayGapsForMalesInRacialEthnicGroupsByOccupationalSeries[[#This Row],[Black Male Avg Salary]]/PayGapsForMalesInRacialEthnicGroupsByOccupationalSeries[[#This Row],[White Male Average Salary]],"")</f>
        <v/>
      </c>
      <c r="P265" s="15" t="str">
        <f>IFERROR(PayGapsForMalesInRacialEthnicGroupsByOccupationalSeries[[#This Row],[Hispanic Latino Male Employees]]/Q$318,"")</f>
        <v/>
      </c>
      <c r="Q265" s="16" t="s">
        <v>0</v>
      </c>
      <c r="R265" s="17" t="s">
        <v>0</v>
      </c>
      <c r="S26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65" s="15" t="str">
        <f>IFERROR(PayGapsForMalesInRacialEthnicGroupsByOccupationalSeries[[#This Row],[Other Male Employees]]/U$318,"")</f>
        <v/>
      </c>
      <c r="U265" s="16" t="s">
        <v>0</v>
      </c>
      <c r="V265" s="17" t="s">
        <v>0</v>
      </c>
      <c r="W26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66" spans="1:23" ht="15.6" x14ac:dyDescent="0.3">
      <c r="A266" s="4" t="s">
        <v>274</v>
      </c>
      <c r="B266" s="25">
        <v>177</v>
      </c>
      <c r="C266" s="26">
        <v>87660.395480225998</v>
      </c>
      <c r="D266" s="15" t="str">
        <f>IFERROR(PayGapsForMalesInRacialEthnicGroupsByOccupationalSeries[[#This Row],[AIAN Male Employees]]/E$318,"")</f>
        <v/>
      </c>
      <c r="E266" s="16" t="s">
        <v>0</v>
      </c>
      <c r="F266" s="17" t="s">
        <v>0</v>
      </c>
      <c r="G266" s="18" t="s">
        <v>0</v>
      </c>
      <c r="H266" s="15" t="str">
        <f>IFERROR(PayGapsForMalesInRacialEthnicGroupsByOccupationalSeries[[#This Row],[ANHPI Male Employees]]/I$318,"")</f>
        <v/>
      </c>
      <c r="I266" s="16" t="s">
        <v>0</v>
      </c>
      <c r="J266" s="17" t="s">
        <v>0</v>
      </c>
      <c r="K266" s="18" t="s">
        <v>0</v>
      </c>
      <c r="L266" s="15">
        <f>IFERROR(PayGapsForMalesInRacialEthnicGroupsByOccupationalSeries[[#This Row],[Black Male Employees]]/M$318,"")</f>
        <v>5.9992800863896336E-4</v>
      </c>
      <c r="M266" s="16">
        <v>75</v>
      </c>
      <c r="N266" s="17">
        <v>85103.706666667</v>
      </c>
      <c r="O266" s="18">
        <f>IFERROR(PayGapsForMalesInRacialEthnicGroupsByOccupationalSeries[[#This Row],[Black Male Avg Salary]]/PayGapsForMalesInRacialEthnicGroupsByOccupationalSeries[[#This Row],[White Male Average Salary]],"")</f>
        <v>0.97083416291299163</v>
      </c>
      <c r="P266" s="15" t="str">
        <f>IFERROR(PayGapsForMalesInRacialEthnicGroupsByOccupationalSeries[[#This Row],[Hispanic Latino Male Employees]]/Q$318,"")</f>
        <v/>
      </c>
      <c r="Q266" s="16" t="s">
        <v>0</v>
      </c>
      <c r="R266" s="17" t="s">
        <v>0</v>
      </c>
      <c r="S26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66" s="15" t="str">
        <f>IFERROR(PayGapsForMalesInRacialEthnicGroupsByOccupationalSeries[[#This Row],[Other Male Employees]]/U$318,"")</f>
        <v/>
      </c>
      <c r="U266" s="16" t="s">
        <v>0</v>
      </c>
      <c r="V266" s="17" t="s">
        <v>0</v>
      </c>
      <c r="W26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67" spans="1:23" ht="15.6" x14ac:dyDescent="0.3">
      <c r="A267" s="4" t="s">
        <v>275</v>
      </c>
      <c r="B267" s="25">
        <v>4007</v>
      </c>
      <c r="C267" s="26">
        <v>90066.609086369994</v>
      </c>
      <c r="D267" s="15" t="str">
        <f>IFERROR(PayGapsForMalesInRacialEthnicGroupsByOccupationalSeries[[#This Row],[AIAN Male Employees]]/E$318,"")</f>
        <v/>
      </c>
      <c r="E267" s="16" t="s">
        <v>0</v>
      </c>
      <c r="F267" s="17" t="s">
        <v>0</v>
      </c>
      <c r="G267" s="18" t="s">
        <v>0</v>
      </c>
      <c r="H267" s="15">
        <f>IFERROR(PayGapsForMalesInRacialEthnicGroupsByOccupationalSeries[[#This Row],[ANHPI Male Employees]]/I$318,"")</f>
        <v>3.3763323643410852E-3</v>
      </c>
      <c r="I267" s="16">
        <v>223</v>
      </c>
      <c r="J267" s="17">
        <v>89474.461883408003</v>
      </c>
      <c r="K267" s="18">
        <f>PayGapsForMalesInRacialEthnicGroupsByOccupationalSeries[[#This Row],[ANHPI Male Avg Salary]]/PayGapsForMalesInRacialEthnicGroupsByOccupationalSeries[[#This Row],[White Male Average Salary]]</f>
        <v>0.99342545246269742</v>
      </c>
      <c r="L267" s="15">
        <f>IFERROR(PayGapsForMalesInRacialEthnicGroupsByOccupationalSeries[[#This Row],[Black Male Employees]]/M$318,"")</f>
        <v>4.5594528656561209E-3</v>
      </c>
      <c r="M267" s="16">
        <v>570</v>
      </c>
      <c r="N267" s="17">
        <v>89507.6</v>
      </c>
      <c r="O267" s="18">
        <f>IFERROR(PayGapsForMalesInRacialEthnicGroupsByOccupationalSeries[[#This Row],[Black Male Avg Salary]]/PayGapsForMalesInRacialEthnicGroupsByOccupationalSeries[[#This Row],[White Male Average Salary]],"")</f>
        <v>0.99379338145356488</v>
      </c>
      <c r="P267" s="15">
        <f>IFERROR(PayGapsForMalesInRacialEthnicGroupsByOccupationalSeries[[#This Row],[Hispanic Latino Male Employees]]/Q$318,"")</f>
        <v>4.4519886565768481E-3</v>
      </c>
      <c r="Q267" s="16">
        <v>438</v>
      </c>
      <c r="R267" s="17">
        <v>88091.452054794994</v>
      </c>
      <c r="S267" s="18">
        <f>IFERROR(PayGapsForMalesInRacialEthnicGroupsByOccupationalSeries[[#This Row],[Hispanic Latino Male Avg Salary]]/PayGapsForMalesInRacialEthnicGroupsByOccupationalSeries[[#This Row],[White Male Average Salary]],"")</f>
        <v>0.97807004114387264</v>
      </c>
      <c r="T267" s="15">
        <f>IFERROR(PayGapsForMalesInRacialEthnicGroupsByOccupationalSeries[[#This Row],[Other Male Employees]]/U$318,"")</f>
        <v>6.6570337496129634E-3</v>
      </c>
      <c r="U267" s="16">
        <v>129</v>
      </c>
      <c r="V267" s="17">
        <v>86658.759689921993</v>
      </c>
      <c r="W267" s="18">
        <f>IFERROR(PayGapsForMalesInRacialEthnicGroupsByOccupationalSeries[[#This Row],[Other Male Avg Salary]]/PayGapsForMalesInRacialEthnicGroupsByOccupationalSeries[[#This Row],[White Male Average Salary]],"")</f>
        <v>0.96216300989881809</v>
      </c>
    </row>
    <row r="268" spans="1:23" ht="15.6" x14ac:dyDescent="0.3">
      <c r="A268" s="4" t="s">
        <v>276</v>
      </c>
      <c r="B268" s="25">
        <v>1066</v>
      </c>
      <c r="C268" s="26">
        <v>123935.215225564</v>
      </c>
      <c r="D268" s="15" t="str">
        <f>IFERROR(PayGapsForMalesInRacialEthnicGroupsByOccupationalSeries[[#This Row],[AIAN Male Employees]]/E$318,"")</f>
        <v/>
      </c>
      <c r="E268" s="16" t="s">
        <v>0</v>
      </c>
      <c r="F268" s="17" t="s">
        <v>0</v>
      </c>
      <c r="G268" s="18" t="s">
        <v>0</v>
      </c>
      <c r="H268" s="15">
        <f>IFERROR(PayGapsForMalesInRacialEthnicGroupsByOccupationalSeries[[#This Row],[ANHPI Male Employees]]/I$318,"")</f>
        <v>1.5594718992248062E-3</v>
      </c>
      <c r="I268" s="16">
        <v>103</v>
      </c>
      <c r="J268" s="17">
        <v>123948.233009709</v>
      </c>
      <c r="K268" s="18">
        <f>PayGapsForMalesInRacialEthnicGroupsByOccupationalSeries[[#This Row],[ANHPI Male Avg Salary]]/PayGapsForMalesInRacialEthnicGroupsByOccupationalSeries[[#This Row],[White Male Average Salary]]</f>
        <v>1.0001050370076117</v>
      </c>
      <c r="L268" s="15">
        <f>IFERROR(PayGapsForMalesInRacialEthnicGroupsByOccupationalSeries[[#This Row],[Black Male Employees]]/M$318,"")</f>
        <v>1.1998560172779267E-3</v>
      </c>
      <c r="M268" s="16">
        <v>150</v>
      </c>
      <c r="N268" s="17">
        <v>104198.83333333299</v>
      </c>
      <c r="O268" s="18">
        <f>IFERROR(PayGapsForMalesInRacialEthnicGroupsByOccupationalSeries[[#This Row],[Black Male Avg Salary]]/PayGapsForMalesInRacialEthnicGroupsByOccupationalSeries[[#This Row],[White Male Average Salary]],"")</f>
        <v>0.84075242975686548</v>
      </c>
      <c r="P268" s="15">
        <f>IFERROR(PayGapsForMalesInRacialEthnicGroupsByOccupationalSeries[[#This Row],[Hispanic Latino Male Employees]]/Q$318,"")</f>
        <v>7.6232682475630949E-4</v>
      </c>
      <c r="Q268" s="16">
        <v>75</v>
      </c>
      <c r="R268" s="17">
        <v>104459.786666667</v>
      </c>
      <c r="S268" s="18">
        <f>IFERROR(PayGapsForMalesInRacialEthnicGroupsByOccupationalSeries[[#This Row],[Hispanic Latino Male Avg Salary]]/PayGapsForMalesInRacialEthnicGroupsByOccupationalSeries[[#This Row],[White Male Average Salary]],"")</f>
        <v>0.84285799219010182</v>
      </c>
      <c r="T268" s="15" t="str">
        <f>IFERROR(PayGapsForMalesInRacialEthnicGroupsByOccupationalSeries[[#This Row],[Other Male Employees]]/U$318,"")</f>
        <v/>
      </c>
      <c r="U268" s="16" t="s">
        <v>0</v>
      </c>
      <c r="V268" s="17" t="s">
        <v>0</v>
      </c>
      <c r="W26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69" spans="1:23" ht="31.2" x14ac:dyDescent="0.3">
      <c r="A269" s="4" t="s">
        <v>277</v>
      </c>
      <c r="B269" s="25">
        <v>846</v>
      </c>
      <c r="C269" s="26">
        <v>67677.806642942</v>
      </c>
      <c r="D269" s="15" t="str">
        <f>IFERROR(PayGapsForMalesInRacialEthnicGroupsByOccupationalSeries[[#This Row],[AIAN Male Employees]]/E$318,"")</f>
        <v/>
      </c>
      <c r="E269" s="16" t="s">
        <v>0</v>
      </c>
      <c r="F269" s="17" t="s">
        <v>0</v>
      </c>
      <c r="G269" s="18" t="s">
        <v>0</v>
      </c>
      <c r="H269" s="15">
        <f>IFERROR(PayGapsForMalesInRacialEthnicGroupsByOccupationalSeries[[#This Row],[ANHPI Male Employees]]/I$318,"")</f>
        <v>8.3272771317829453E-4</v>
      </c>
      <c r="I269" s="16">
        <v>55</v>
      </c>
      <c r="J269" s="17">
        <v>59047.218181818003</v>
      </c>
      <c r="K269" s="18">
        <f>PayGapsForMalesInRacialEthnicGroupsByOccupationalSeries[[#This Row],[ANHPI Male Avg Salary]]/PayGapsForMalesInRacialEthnicGroupsByOccupationalSeries[[#This Row],[White Male Average Salary]]</f>
        <v>0.87247535212454963</v>
      </c>
      <c r="L269" s="15">
        <f>IFERROR(PayGapsForMalesInRacialEthnicGroupsByOccupationalSeries[[#This Row],[Black Male Employees]]/M$318,"")</f>
        <v>2.5356957165140184E-3</v>
      </c>
      <c r="M269" s="16">
        <v>317</v>
      </c>
      <c r="N269" s="17">
        <v>63211.113564669002</v>
      </c>
      <c r="O269" s="18">
        <f>IFERROR(PayGapsForMalesInRacialEthnicGroupsByOccupationalSeries[[#This Row],[Black Male Avg Salary]]/PayGapsForMalesInRacialEthnicGroupsByOccupationalSeries[[#This Row],[White Male Average Salary]],"")</f>
        <v>0.93400062295401198</v>
      </c>
      <c r="P269" s="15">
        <f>IFERROR(PayGapsForMalesInRacialEthnicGroupsByOccupationalSeries[[#This Row],[Hispanic Latino Male Employees]]/Q$318,"")</f>
        <v>1.2197229196100952E-3</v>
      </c>
      <c r="Q269" s="16">
        <v>120</v>
      </c>
      <c r="R269" s="17">
        <v>62599.95</v>
      </c>
      <c r="S269" s="18">
        <f>IFERROR(PayGapsForMalesInRacialEthnicGroupsByOccupationalSeries[[#This Row],[Hispanic Latino Male Avg Salary]]/PayGapsForMalesInRacialEthnicGroupsByOccupationalSeries[[#This Row],[White Male Average Salary]],"")</f>
        <v>0.92497013578273868</v>
      </c>
      <c r="T269" s="15">
        <f>IFERROR(PayGapsForMalesInRacialEthnicGroupsByOccupationalSeries[[#This Row],[Other Male Employees]]/U$318,"")</f>
        <v>1.7029621219940138E-3</v>
      </c>
      <c r="U269" s="16">
        <v>33</v>
      </c>
      <c r="V269" s="17">
        <v>66459.151515152</v>
      </c>
      <c r="W269" s="18">
        <f>IFERROR(PayGapsForMalesInRacialEthnicGroupsByOccupationalSeries[[#This Row],[Other Male Avg Salary]]/PayGapsForMalesInRacialEthnicGroupsByOccupationalSeries[[#This Row],[White Male Average Salary]],"")</f>
        <v>0.98199328275782571</v>
      </c>
    </row>
    <row r="270" spans="1:23" ht="31.2" x14ac:dyDescent="0.3">
      <c r="A270" s="4" t="s">
        <v>278</v>
      </c>
      <c r="B270" s="25">
        <v>471</v>
      </c>
      <c r="C270" s="26">
        <v>117526.435244161</v>
      </c>
      <c r="D270" s="15" t="str">
        <f>IFERROR(PayGapsForMalesInRacialEthnicGroupsByOccupationalSeries[[#This Row],[AIAN Male Employees]]/E$318,"")</f>
        <v/>
      </c>
      <c r="E270" s="16" t="s">
        <v>0</v>
      </c>
      <c r="F270" s="17" t="s">
        <v>0</v>
      </c>
      <c r="G270" s="18" t="s">
        <v>0</v>
      </c>
      <c r="H270" s="15" t="str">
        <f>IFERROR(PayGapsForMalesInRacialEthnicGroupsByOccupationalSeries[[#This Row],[ANHPI Male Employees]]/I$318,"")</f>
        <v/>
      </c>
      <c r="I270" s="16" t="s">
        <v>0</v>
      </c>
      <c r="J270" s="17" t="s">
        <v>0</v>
      </c>
      <c r="K270" s="18" t="s">
        <v>0</v>
      </c>
      <c r="L270" s="15">
        <f>IFERROR(PayGapsForMalesInRacialEthnicGroupsByOccupationalSeries[[#This Row],[Black Male Employees]]/M$318,"")</f>
        <v>5.9192896852377716E-4</v>
      </c>
      <c r="M270" s="16">
        <v>74</v>
      </c>
      <c r="N270" s="17">
        <v>90370.648648649003</v>
      </c>
      <c r="O270" s="18">
        <f>IFERROR(PayGapsForMalesInRacialEthnicGroupsByOccupationalSeries[[#This Row],[Black Male Avg Salary]]/PayGapsForMalesInRacialEthnicGroupsByOccupationalSeries[[#This Row],[White Male Average Salary]],"")</f>
        <v>0.76893890690127809</v>
      </c>
      <c r="P270" s="15" t="str">
        <f>IFERROR(PayGapsForMalesInRacialEthnicGroupsByOccupationalSeries[[#This Row],[Hispanic Latino Male Employees]]/Q$318,"")</f>
        <v/>
      </c>
      <c r="Q270" s="16" t="s">
        <v>0</v>
      </c>
      <c r="R270" s="17" t="s">
        <v>0</v>
      </c>
      <c r="S27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70" s="15" t="str">
        <f>IFERROR(PayGapsForMalesInRacialEthnicGroupsByOccupationalSeries[[#This Row],[Other Male Employees]]/U$318,"")</f>
        <v/>
      </c>
      <c r="U270" s="16" t="s">
        <v>0</v>
      </c>
      <c r="V270" s="17" t="s">
        <v>0</v>
      </c>
      <c r="W27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71" spans="1:23" ht="15.6" x14ac:dyDescent="0.3">
      <c r="A271" s="4" t="s">
        <v>279</v>
      </c>
      <c r="B271" s="25">
        <v>4694</v>
      </c>
      <c r="C271" s="26">
        <v>86089.978052417995</v>
      </c>
      <c r="D271" s="15" t="str">
        <f>IFERROR(PayGapsForMalesInRacialEthnicGroupsByOccupationalSeries[[#This Row],[AIAN Male Employees]]/E$318,"")</f>
        <v/>
      </c>
      <c r="E271" s="16" t="s">
        <v>0</v>
      </c>
      <c r="F271" s="17" t="s">
        <v>0</v>
      </c>
      <c r="G271" s="18" t="s">
        <v>0</v>
      </c>
      <c r="H271" s="15">
        <f>IFERROR(PayGapsForMalesInRacialEthnicGroupsByOccupationalSeries[[#This Row],[ANHPI Male Employees]]/I$318,"")</f>
        <v>2.7252906976744187E-3</v>
      </c>
      <c r="I271" s="16">
        <v>180</v>
      </c>
      <c r="J271" s="17">
        <v>85578.655555556004</v>
      </c>
      <c r="K271" s="18">
        <f>PayGapsForMalesInRacialEthnicGroupsByOccupationalSeries[[#This Row],[ANHPI Male Avg Salary]]/PayGapsForMalesInRacialEthnicGroupsByOccupationalSeries[[#This Row],[White Male Average Salary]]</f>
        <v>0.9940606037028995</v>
      </c>
      <c r="L271" s="15">
        <f>IFERROR(PayGapsForMalesInRacialEthnicGroupsByOccupationalSeries[[#This Row],[Black Male Employees]]/M$318,"")</f>
        <v>8.1510218773747159E-3</v>
      </c>
      <c r="M271" s="16">
        <v>1019</v>
      </c>
      <c r="N271" s="17">
        <v>82956.030421981995</v>
      </c>
      <c r="O271" s="18">
        <f>IFERROR(PayGapsForMalesInRacialEthnicGroupsByOccupationalSeries[[#This Row],[Black Male Avg Salary]]/PayGapsForMalesInRacialEthnicGroupsByOccupationalSeries[[#This Row],[White Male Average Salary]],"")</f>
        <v>0.9635968355279656</v>
      </c>
      <c r="P271" s="15">
        <f>IFERROR(PayGapsForMalesInRacialEthnicGroupsByOccupationalSeries[[#This Row],[Hispanic Latino Male Employees]]/Q$318,"")</f>
        <v>5.8445056564650393E-3</v>
      </c>
      <c r="Q271" s="16">
        <v>575</v>
      </c>
      <c r="R271" s="17">
        <v>81192.984347826001</v>
      </c>
      <c r="S271" s="18">
        <f>IFERROR(PayGapsForMalesInRacialEthnicGroupsByOccupationalSeries[[#This Row],[Hispanic Latino Male Avg Salary]]/PayGapsForMalesInRacialEthnicGroupsByOccupationalSeries[[#This Row],[White Male Average Salary]],"")</f>
        <v>0.94311772618166612</v>
      </c>
      <c r="T271" s="15">
        <f>IFERROR(PayGapsForMalesInRacialEthnicGroupsByOccupationalSeries[[#This Row],[Other Male Employees]]/U$318,"")</f>
        <v>8.1019713076684909E-3</v>
      </c>
      <c r="U271" s="16">
        <v>157</v>
      </c>
      <c r="V271" s="17">
        <v>85183.757961783005</v>
      </c>
      <c r="W271" s="18">
        <f>IFERROR(PayGapsForMalesInRacialEthnicGroupsByOccupationalSeries[[#This Row],[Other Male Avg Salary]]/PayGapsForMalesInRacialEthnicGroupsByOccupationalSeries[[#This Row],[White Male Average Salary]],"")</f>
        <v>0.98947357043019324</v>
      </c>
    </row>
    <row r="272" spans="1:23" ht="15.6" x14ac:dyDescent="0.3">
      <c r="A272" s="4" t="s">
        <v>280</v>
      </c>
      <c r="B272" s="25">
        <v>236</v>
      </c>
      <c r="C272" s="26">
        <v>76963.351694915007</v>
      </c>
      <c r="D272" s="15" t="str">
        <f>IFERROR(PayGapsForMalesInRacialEthnicGroupsByOccupationalSeries[[#This Row],[AIAN Male Employees]]/E$318,"")</f>
        <v/>
      </c>
      <c r="E272" s="16" t="s">
        <v>0</v>
      </c>
      <c r="F272" s="17" t="s">
        <v>0</v>
      </c>
      <c r="G272" s="18" t="s">
        <v>0</v>
      </c>
      <c r="H272" s="15" t="str">
        <f>IFERROR(PayGapsForMalesInRacialEthnicGroupsByOccupationalSeries[[#This Row],[ANHPI Male Employees]]/I$318,"")</f>
        <v/>
      </c>
      <c r="I272" s="16" t="s">
        <v>0</v>
      </c>
      <c r="J272" s="17" t="s">
        <v>0</v>
      </c>
      <c r="K272" s="18" t="s">
        <v>0</v>
      </c>
      <c r="L272" s="15">
        <f>IFERROR(PayGapsForMalesInRacialEthnicGroupsByOccupationalSeries[[#This Row],[Black Male Employees]]/M$318,"")</f>
        <v>1.1678598568171819E-3</v>
      </c>
      <c r="M272" s="16">
        <v>146</v>
      </c>
      <c r="N272" s="17">
        <v>77508.554794520998</v>
      </c>
      <c r="O272" s="18">
        <f>IFERROR(PayGapsForMalesInRacialEthnicGroupsByOccupationalSeries[[#This Row],[Black Male Avg Salary]]/PayGapsForMalesInRacialEthnicGroupsByOccupationalSeries[[#This Row],[White Male Average Salary]],"")</f>
        <v>1.0070839313465347</v>
      </c>
      <c r="P272" s="15" t="str">
        <f>IFERROR(PayGapsForMalesInRacialEthnicGroupsByOccupationalSeries[[#This Row],[Hispanic Latino Male Employees]]/Q$318,"")</f>
        <v/>
      </c>
      <c r="Q272" s="16" t="s">
        <v>0</v>
      </c>
      <c r="R272" s="17" t="s">
        <v>0</v>
      </c>
      <c r="S27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72" s="15" t="str">
        <f>IFERROR(PayGapsForMalesInRacialEthnicGroupsByOccupationalSeries[[#This Row],[Other Male Employees]]/U$318,"")</f>
        <v/>
      </c>
      <c r="U272" s="16" t="s">
        <v>0</v>
      </c>
      <c r="V272" s="17" t="s">
        <v>0</v>
      </c>
      <c r="W27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73" spans="1:23" ht="15.6" x14ac:dyDescent="0.3">
      <c r="A273" s="4" t="s">
        <v>281</v>
      </c>
      <c r="B273" s="25">
        <v>101</v>
      </c>
      <c r="C273" s="26">
        <v>123929.346534653</v>
      </c>
      <c r="D273" s="15" t="str">
        <f>IFERROR(PayGapsForMalesInRacialEthnicGroupsByOccupationalSeries[[#This Row],[AIAN Male Employees]]/E$318,"")</f>
        <v/>
      </c>
      <c r="E273" s="16" t="s">
        <v>0</v>
      </c>
      <c r="F273" s="17" t="s">
        <v>0</v>
      </c>
      <c r="G273" s="18" t="s">
        <v>0</v>
      </c>
      <c r="H273" s="15" t="str">
        <f>IFERROR(PayGapsForMalesInRacialEthnicGroupsByOccupationalSeries[[#This Row],[ANHPI Male Employees]]/I$318,"")</f>
        <v/>
      </c>
      <c r="I273" s="16" t="s">
        <v>0</v>
      </c>
      <c r="J273" s="17" t="s">
        <v>0</v>
      </c>
      <c r="K273" s="18" t="s">
        <v>0</v>
      </c>
      <c r="L273" s="15">
        <f>IFERROR(PayGapsForMalesInRacialEthnicGroupsByOccupationalSeries[[#This Row],[Black Male Employees]]/M$318,"")</f>
        <v>2.9596448426188858E-4</v>
      </c>
      <c r="M273" s="16">
        <v>37</v>
      </c>
      <c r="N273" s="17">
        <v>128016.648648649</v>
      </c>
      <c r="O273" s="18">
        <f>IFERROR(PayGapsForMalesInRacialEthnicGroupsByOccupationalSeries[[#This Row],[Black Male Avg Salary]]/PayGapsForMalesInRacialEthnicGroupsByOccupationalSeries[[#This Row],[White Male Average Salary]],"")</f>
        <v>1.0329809058813453</v>
      </c>
      <c r="P273" s="15" t="str">
        <f>IFERROR(PayGapsForMalesInRacialEthnicGroupsByOccupationalSeries[[#This Row],[Hispanic Latino Male Employees]]/Q$318,"")</f>
        <v/>
      </c>
      <c r="Q273" s="16" t="s">
        <v>0</v>
      </c>
      <c r="R273" s="17" t="s">
        <v>0</v>
      </c>
      <c r="S27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73" s="15" t="str">
        <f>IFERROR(PayGapsForMalesInRacialEthnicGroupsByOccupationalSeries[[#This Row],[Other Male Employees]]/U$318,"")</f>
        <v/>
      </c>
      <c r="U273" s="16" t="s">
        <v>0</v>
      </c>
      <c r="V273" s="17" t="s">
        <v>0</v>
      </c>
      <c r="W27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74" spans="1:23" ht="15.6" x14ac:dyDescent="0.3">
      <c r="A274" s="4" t="s">
        <v>282</v>
      </c>
      <c r="B274" s="25">
        <v>244</v>
      </c>
      <c r="C274" s="26">
        <v>81065.151639343996</v>
      </c>
      <c r="D274" s="15" t="str">
        <f>IFERROR(PayGapsForMalesInRacialEthnicGroupsByOccupationalSeries[[#This Row],[AIAN Male Employees]]/E$318,"")</f>
        <v/>
      </c>
      <c r="E274" s="16" t="s">
        <v>0</v>
      </c>
      <c r="F274" s="17" t="s">
        <v>0</v>
      </c>
      <c r="G274" s="18" t="s">
        <v>0</v>
      </c>
      <c r="H274" s="15" t="str">
        <f>IFERROR(PayGapsForMalesInRacialEthnicGroupsByOccupationalSeries[[#This Row],[ANHPI Male Employees]]/I$318,"")</f>
        <v/>
      </c>
      <c r="I274" s="16" t="s">
        <v>0</v>
      </c>
      <c r="J274" s="17" t="s">
        <v>0</v>
      </c>
      <c r="K274" s="18" t="s">
        <v>0</v>
      </c>
      <c r="L274" s="15">
        <f>IFERROR(PayGapsForMalesInRacialEthnicGroupsByOccupationalSeries[[#This Row],[Black Male Employees]]/M$318,"")</f>
        <v>5.2793664760228778E-4</v>
      </c>
      <c r="M274" s="16">
        <v>66</v>
      </c>
      <c r="N274" s="17">
        <v>82087.984848484994</v>
      </c>
      <c r="O274" s="18">
        <f>IFERROR(PayGapsForMalesInRacialEthnicGroupsByOccupationalSeries[[#This Row],[Black Male Avg Salary]]/PayGapsForMalesInRacialEthnicGroupsByOccupationalSeries[[#This Row],[White Male Average Salary]],"")</f>
        <v>1.0126174217707202</v>
      </c>
      <c r="P274" s="15" t="str">
        <f>IFERROR(PayGapsForMalesInRacialEthnicGroupsByOccupationalSeries[[#This Row],[Hispanic Latino Male Employees]]/Q$318,"")</f>
        <v/>
      </c>
      <c r="Q274" s="16" t="s">
        <v>0</v>
      </c>
      <c r="R274" s="17" t="s">
        <v>0</v>
      </c>
      <c r="S27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74" s="15" t="str">
        <f>IFERROR(PayGapsForMalesInRacialEthnicGroupsByOccupationalSeries[[#This Row],[Other Male Employees]]/U$318,"")</f>
        <v/>
      </c>
      <c r="U274" s="16" t="s">
        <v>0</v>
      </c>
      <c r="V274" s="17" t="s">
        <v>0</v>
      </c>
      <c r="W27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75" spans="1:23" ht="15.6" x14ac:dyDescent="0.3">
      <c r="A275" s="4" t="s">
        <v>283</v>
      </c>
      <c r="B275" s="25">
        <v>870</v>
      </c>
      <c r="C275" s="26">
        <v>101170.431034483</v>
      </c>
      <c r="D275" s="15" t="str">
        <f>IFERROR(PayGapsForMalesInRacialEthnicGroupsByOccupationalSeries[[#This Row],[AIAN Male Employees]]/E$318,"")</f>
        <v/>
      </c>
      <c r="E275" s="16" t="s">
        <v>0</v>
      </c>
      <c r="F275" s="17" t="s">
        <v>0</v>
      </c>
      <c r="G275" s="18" t="s">
        <v>0</v>
      </c>
      <c r="H275" s="15" t="str">
        <f>IFERROR(PayGapsForMalesInRacialEthnicGroupsByOccupationalSeries[[#This Row],[ANHPI Male Employees]]/I$318,"")</f>
        <v/>
      </c>
      <c r="I275" s="16" t="s">
        <v>0</v>
      </c>
      <c r="J275" s="17" t="s">
        <v>0</v>
      </c>
      <c r="K275" s="18" t="s">
        <v>0</v>
      </c>
      <c r="L275" s="15">
        <f>IFERROR(PayGapsForMalesInRacialEthnicGroupsByOccupationalSeries[[#This Row],[Black Male Employees]]/M$318,"")</f>
        <v>1.575810902691677E-3</v>
      </c>
      <c r="M275" s="16">
        <v>197</v>
      </c>
      <c r="N275" s="17">
        <v>97434.355329949001</v>
      </c>
      <c r="O275" s="18">
        <f>IFERROR(PayGapsForMalesInRacialEthnicGroupsByOccupationalSeries[[#This Row],[Black Male Avg Salary]]/PayGapsForMalesInRacialEthnicGroupsByOccupationalSeries[[#This Row],[White Male Average Salary]],"")</f>
        <v>0.96307146597743964</v>
      </c>
      <c r="P275" s="15">
        <f>IFERROR(PayGapsForMalesInRacialEthnicGroupsByOccupationalSeries[[#This Row],[Hispanic Latino Male Employees]]/Q$318,"")</f>
        <v>9.1479218970757148E-4</v>
      </c>
      <c r="Q275" s="16">
        <v>90</v>
      </c>
      <c r="R275" s="17">
        <v>95547.511111111002</v>
      </c>
      <c r="S275" s="18">
        <f>IFERROR(PayGapsForMalesInRacialEthnicGroupsByOccupationalSeries[[#This Row],[Hispanic Latino Male Avg Salary]]/PayGapsForMalesInRacialEthnicGroupsByOccupationalSeries[[#This Row],[White Male Average Salary]],"")</f>
        <v>0.94442131099100013</v>
      </c>
      <c r="T275" s="15" t="str">
        <f>IFERROR(PayGapsForMalesInRacialEthnicGroupsByOccupationalSeries[[#This Row],[Other Male Employees]]/U$318,"")</f>
        <v/>
      </c>
      <c r="U275" s="16" t="s">
        <v>0</v>
      </c>
      <c r="V275" s="17" t="s">
        <v>0</v>
      </c>
      <c r="W27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76" spans="1:23" ht="31.2" x14ac:dyDescent="0.3">
      <c r="A276" s="4" t="s">
        <v>284</v>
      </c>
      <c r="B276" s="25">
        <v>16968</v>
      </c>
      <c r="C276" s="26">
        <v>102901.326672561</v>
      </c>
      <c r="D276" s="15">
        <f>IFERROR(PayGapsForMalesInRacialEthnicGroupsByOccupationalSeries[[#This Row],[AIAN Male Employees]]/E$318,"")</f>
        <v>2.3014256619144604E-2</v>
      </c>
      <c r="E276" s="16">
        <v>226</v>
      </c>
      <c r="F276" s="17">
        <v>97821.752212388994</v>
      </c>
      <c r="G276" s="18">
        <f>PayGapsForMalesInRacialEthnicGroupsByOccupationalSeries[[#This Row],[AIAN Male Avg Salary]]/PayGapsForMalesInRacialEthnicGroupsByOccupationalSeries[[#This Row],[White Male Average Salary]]</f>
        <v>0.95063645314957346</v>
      </c>
      <c r="H276" s="15">
        <f>IFERROR(PayGapsForMalesInRacialEthnicGroupsByOccupationalSeries[[#This Row],[ANHPI Male Employees]]/I$318,"")</f>
        <v>2.1741763565891473E-2</v>
      </c>
      <c r="I276" s="16">
        <v>1436</v>
      </c>
      <c r="J276" s="17">
        <v>101424.465181058</v>
      </c>
      <c r="K276" s="18">
        <f>PayGapsForMalesInRacialEthnicGroupsByOccupationalSeries[[#This Row],[ANHPI Male Avg Salary]]/PayGapsForMalesInRacialEthnicGroupsByOccupationalSeries[[#This Row],[White Male Average Salary]]</f>
        <v>0.98564778959359312</v>
      </c>
      <c r="L276" s="15">
        <f>IFERROR(PayGapsForMalesInRacialEthnicGroupsByOccupationalSeries[[#This Row],[Black Male Employees]]/M$318,"")</f>
        <v>2.2381314242290926E-2</v>
      </c>
      <c r="M276" s="16">
        <v>2798</v>
      </c>
      <c r="N276" s="17">
        <v>100025.642116553</v>
      </c>
      <c r="O276" s="18">
        <f>IFERROR(PayGapsForMalesInRacialEthnicGroupsByOccupationalSeries[[#This Row],[Black Male Avg Salary]]/PayGapsForMalesInRacialEthnicGroupsByOccupationalSeries[[#This Row],[White Male Average Salary]],"")</f>
        <v>0.97205396034242963</v>
      </c>
      <c r="P276" s="15">
        <f>IFERROR(PayGapsForMalesInRacialEthnicGroupsByOccupationalSeries[[#This Row],[Hispanic Latino Male Employees]]/Q$318,"")</f>
        <v>4.3899860748300011E-2</v>
      </c>
      <c r="Q276" s="16">
        <v>4319</v>
      </c>
      <c r="R276" s="17">
        <v>98796.392683491998</v>
      </c>
      <c r="S276" s="18">
        <f>IFERROR(PayGapsForMalesInRacialEthnicGroupsByOccupationalSeries[[#This Row],[Hispanic Latino Male Avg Salary]]/PayGapsForMalesInRacialEthnicGroupsByOccupationalSeries[[#This Row],[White Male Average Salary]],"")</f>
        <v>0.96010805572865765</v>
      </c>
      <c r="T276" s="15">
        <f>IFERROR(PayGapsForMalesInRacialEthnicGroupsByOccupationalSeries[[#This Row],[Other Male Employees]]/U$318,"")</f>
        <v>2.3841469707916195E-2</v>
      </c>
      <c r="U276" s="16">
        <v>462</v>
      </c>
      <c r="V276" s="17">
        <v>95994.790043290006</v>
      </c>
      <c r="W276" s="18">
        <f>IFERROR(PayGapsForMalesInRacialEthnicGroupsByOccupationalSeries[[#This Row],[Other Male Avg Salary]]/PayGapsForMalesInRacialEthnicGroupsByOccupationalSeries[[#This Row],[White Male Average Salary]],"")</f>
        <v>0.93288194766187937</v>
      </c>
    </row>
    <row r="277" spans="1:23" ht="31.2" x14ac:dyDescent="0.3">
      <c r="A277" s="4" t="s">
        <v>285</v>
      </c>
      <c r="B277" s="25">
        <v>11164</v>
      </c>
      <c r="C277" s="26">
        <v>50455.006285919997</v>
      </c>
      <c r="D277" s="15">
        <f>IFERROR(PayGapsForMalesInRacialEthnicGroupsByOccupationalSeries[[#This Row],[AIAN Male Employees]]/E$318,"")</f>
        <v>1.5580448065173115E-2</v>
      </c>
      <c r="E277" s="16">
        <v>153</v>
      </c>
      <c r="F277" s="17">
        <v>50851.699346405003</v>
      </c>
      <c r="G277" s="18">
        <f>PayGapsForMalesInRacialEthnicGroupsByOccupationalSeries[[#This Row],[AIAN Male Avg Salary]]/PayGapsForMalesInRacialEthnicGroupsByOccupationalSeries[[#This Row],[White Male Average Salary]]</f>
        <v>1.0078623131714028</v>
      </c>
      <c r="H277" s="15">
        <f>IFERROR(PayGapsForMalesInRacialEthnicGroupsByOccupationalSeries[[#This Row],[ANHPI Male Employees]]/I$318,"")</f>
        <v>3.4868580426356592E-2</v>
      </c>
      <c r="I277" s="16">
        <v>2303</v>
      </c>
      <c r="J277" s="17">
        <v>49628.669417896999</v>
      </c>
      <c r="K277" s="18">
        <f>PayGapsForMalesInRacialEthnicGroupsByOccupationalSeries[[#This Row],[ANHPI Male Avg Salary]]/PayGapsForMalesInRacialEthnicGroupsByOccupationalSeries[[#This Row],[White Male Average Salary]]</f>
        <v>0.98362230175256971</v>
      </c>
      <c r="L277" s="15">
        <f>IFERROR(PayGapsForMalesInRacialEthnicGroupsByOccupationalSeries[[#This Row],[Black Male Employees]]/M$318,"")</f>
        <v>4.0691117065952083E-2</v>
      </c>
      <c r="M277" s="16">
        <v>5087</v>
      </c>
      <c r="N277" s="17">
        <v>49530.250884781999</v>
      </c>
      <c r="O277" s="18">
        <f>IFERROR(PayGapsForMalesInRacialEthnicGroupsByOccupationalSeries[[#This Row],[Black Male Avg Salary]]/PayGapsForMalesInRacialEthnicGroupsByOccupationalSeries[[#This Row],[White Male Average Salary]],"")</f>
        <v>0.98167168197547006</v>
      </c>
      <c r="P277" s="15">
        <f>IFERROR(PayGapsForMalesInRacialEthnicGroupsByOccupationalSeries[[#This Row],[Hispanic Latino Male Employees]]/Q$318,"")</f>
        <v>7.0134067877580475E-2</v>
      </c>
      <c r="Q277" s="16">
        <v>6900</v>
      </c>
      <c r="R277" s="17">
        <v>48294.027919150998</v>
      </c>
      <c r="S277" s="18">
        <f>IFERROR(PayGapsForMalesInRacialEthnicGroupsByOccupationalSeries[[#This Row],[Hispanic Latino Male Avg Salary]]/PayGapsForMalesInRacialEthnicGroupsByOccupationalSeries[[#This Row],[White Male Average Salary]],"")</f>
        <v>0.95717018932624642</v>
      </c>
      <c r="T277" s="15">
        <f>IFERROR(PayGapsForMalesInRacialEthnicGroupsByOccupationalSeries[[#This Row],[Other Male Employees]]/U$318,"")</f>
        <v>3.6691092992052844E-2</v>
      </c>
      <c r="U277" s="16">
        <v>711</v>
      </c>
      <c r="V277" s="17">
        <v>45582.455696202996</v>
      </c>
      <c r="W277" s="18">
        <f>IFERROR(PayGapsForMalesInRacialEthnicGroupsByOccupationalSeries[[#This Row],[Other Male Avg Salary]]/PayGapsForMalesInRacialEthnicGroupsByOccupationalSeries[[#This Row],[White Male Average Salary]],"")</f>
        <v>0.90342780730013039</v>
      </c>
    </row>
    <row r="278" spans="1:23" ht="15.6" x14ac:dyDescent="0.3">
      <c r="A278" s="4" t="s">
        <v>286</v>
      </c>
      <c r="B278" s="25">
        <v>362</v>
      </c>
      <c r="C278" s="26">
        <v>92266.168508286995</v>
      </c>
      <c r="D278" s="15" t="str">
        <f>IFERROR(PayGapsForMalesInRacialEthnicGroupsByOccupationalSeries[[#This Row],[AIAN Male Employees]]/E$318,"")</f>
        <v/>
      </c>
      <c r="E278" s="16" t="s">
        <v>0</v>
      </c>
      <c r="F278" s="17" t="s">
        <v>0</v>
      </c>
      <c r="G278" s="18" t="s">
        <v>0</v>
      </c>
      <c r="H278" s="15" t="str">
        <f>IFERROR(PayGapsForMalesInRacialEthnicGroupsByOccupationalSeries[[#This Row],[ANHPI Male Employees]]/I$318,"")</f>
        <v/>
      </c>
      <c r="I278" s="16" t="s">
        <v>0</v>
      </c>
      <c r="J278" s="17" t="s">
        <v>0</v>
      </c>
      <c r="K278" s="18" t="s">
        <v>0</v>
      </c>
      <c r="L278" s="15">
        <f>IFERROR(PayGapsForMalesInRacialEthnicGroupsByOccupationalSeries[[#This Row],[Black Male Employees]]/M$318,"")</f>
        <v>6.5592128944526654E-4</v>
      </c>
      <c r="M278" s="16">
        <v>82</v>
      </c>
      <c r="N278" s="17">
        <v>88189.951219512004</v>
      </c>
      <c r="O278" s="18">
        <f>IFERROR(PayGapsForMalesInRacialEthnicGroupsByOccupationalSeries[[#This Row],[Black Male Avg Salary]]/PayGapsForMalesInRacialEthnicGroupsByOccupationalSeries[[#This Row],[White Male Average Salary]],"")</f>
        <v>0.95582110588661884</v>
      </c>
      <c r="P278" s="15">
        <f>IFERROR(PayGapsForMalesInRacialEthnicGroupsByOccupationalSeries[[#This Row],[Hispanic Latino Male Employees]]/Q$318,"")</f>
        <v>6.7084760578555239E-4</v>
      </c>
      <c r="Q278" s="16">
        <v>66</v>
      </c>
      <c r="R278" s="17">
        <v>77556.787878788004</v>
      </c>
      <c r="S278" s="18">
        <f>IFERROR(PayGapsForMalesInRacialEthnicGroupsByOccupationalSeries[[#This Row],[Hispanic Latino Male Avg Salary]]/PayGapsForMalesInRacialEthnicGroupsByOccupationalSeries[[#This Row],[White Male Average Salary]],"")</f>
        <v>0.84057666133412867</v>
      </c>
      <c r="T278" s="15" t="str">
        <f>IFERROR(PayGapsForMalesInRacialEthnicGroupsByOccupationalSeries[[#This Row],[Other Male Employees]]/U$318,"")</f>
        <v/>
      </c>
      <c r="U278" s="16" t="s">
        <v>0</v>
      </c>
      <c r="V278" s="17" t="s">
        <v>0</v>
      </c>
      <c r="W27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79" spans="1:23" ht="15.6" x14ac:dyDescent="0.3">
      <c r="A279" s="4" t="s">
        <v>287</v>
      </c>
      <c r="B279" s="25">
        <v>958</v>
      </c>
      <c r="C279" s="26">
        <v>103614.5</v>
      </c>
      <c r="D279" s="15" t="str">
        <f>IFERROR(PayGapsForMalesInRacialEthnicGroupsByOccupationalSeries[[#This Row],[AIAN Male Employees]]/E$318,"")</f>
        <v/>
      </c>
      <c r="E279" s="16" t="s">
        <v>0</v>
      </c>
      <c r="F279" s="17" t="s">
        <v>0</v>
      </c>
      <c r="G279" s="18" t="s">
        <v>0</v>
      </c>
      <c r="H279" s="15" t="str">
        <f>IFERROR(PayGapsForMalesInRacialEthnicGroupsByOccupationalSeries[[#This Row],[ANHPI Male Employees]]/I$318,"")</f>
        <v/>
      </c>
      <c r="I279" s="16" t="s">
        <v>0</v>
      </c>
      <c r="J279" s="17" t="s">
        <v>0</v>
      </c>
      <c r="K279" s="18" t="s">
        <v>0</v>
      </c>
      <c r="L279" s="15">
        <f>IFERROR(PayGapsForMalesInRacialEthnicGroupsByOccupationalSeries[[#This Row],[Black Male Employees]]/M$318,"")</f>
        <v>1.1918569771627405E-3</v>
      </c>
      <c r="M279" s="16">
        <v>149</v>
      </c>
      <c r="N279" s="17">
        <v>98910.738255033997</v>
      </c>
      <c r="O279" s="18">
        <f>IFERROR(PayGapsForMalesInRacialEthnicGroupsByOccupationalSeries[[#This Row],[Black Male Avg Salary]]/PayGapsForMalesInRacialEthnicGroupsByOccupationalSeries[[#This Row],[White Male Average Salary]],"")</f>
        <v>0.9546032481460992</v>
      </c>
      <c r="P279" s="15">
        <f>IFERROR(PayGapsForMalesInRacialEthnicGroupsByOccupationalSeries[[#This Row],[Hispanic Latino Male Employees]]/Q$318,"")</f>
        <v>1.2298872772735128E-3</v>
      </c>
      <c r="Q279" s="16">
        <v>121</v>
      </c>
      <c r="R279" s="17">
        <v>104826.595041322</v>
      </c>
      <c r="S279" s="18">
        <f>IFERROR(PayGapsForMalesInRacialEthnicGroupsByOccupationalSeries[[#This Row],[Hispanic Latino Male Avg Salary]]/PayGapsForMalesInRacialEthnicGroupsByOccupationalSeries[[#This Row],[White Male Average Salary]],"")</f>
        <v>1.0116981218007326</v>
      </c>
      <c r="T279" s="15" t="str">
        <f>IFERROR(PayGapsForMalesInRacialEthnicGroupsByOccupationalSeries[[#This Row],[Other Male Employees]]/U$318,"")</f>
        <v/>
      </c>
      <c r="U279" s="16" t="s">
        <v>0</v>
      </c>
      <c r="V279" s="17" t="s">
        <v>0</v>
      </c>
      <c r="W27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80" spans="1:23" ht="15.6" x14ac:dyDescent="0.3">
      <c r="A280" s="4" t="s">
        <v>288</v>
      </c>
      <c r="B280" s="25">
        <v>26452</v>
      </c>
      <c r="C280" s="26">
        <v>118363.64472092</v>
      </c>
      <c r="D280" s="15">
        <f>IFERROR(PayGapsForMalesInRacialEthnicGroupsByOccupationalSeries[[#This Row],[AIAN Male Employees]]/E$318,"")</f>
        <v>3.2179226069246433E-2</v>
      </c>
      <c r="E280" s="16">
        <v>316</v>
      </c>
      <c r="F280" s="17">
        <v>107668.42721518999</v>
      </c>
      <c r="G280" s="18">
        <f>PayGapsForMalesInRacialEthnicGroupsByOccupationalSeries[[#This Row],[AIAN Male Avg Salary]]/PayGapsForMalesInRacialEthnicGroupsByOccupationalSeries[[#This Row],[White Male Average Salary]]</f>
        <v>0.90964102591680585</v>
      </c>
      <c r="H280" s="15">
        <f>IFERROR(PayGapsForMalesInRacialEthnicGroupsByOccupationalSeries[[#This Row],[ANHPI Male Employees]]/I$318,"")</f>
        <v>1.8940770348837208E-2</v>
      </c>
      <c r="I280" s="16">
        <v>1251</v>
      </c>
      <c r="J280" s="17">
        <v>121490.41326938399</v>
      </c>
      <c r="K280" s="18">
        <f>PayGapsForMalesInRacialEthnicGroupsByOccupationalSeries[[#This Row],[ANHPI Male Avg Salary]]/PayGapsForMalesInRacialEthnicGroupsByOccupationalSeries[[#This Row],[White Male Average Salary]]</f>
        <v>1.0264166294966359</v>
      </c>
      <c r="L280" s="15">
        <f>IFERROR(PayGapsForMalesInRacialEthnicGroupsByOccupationalSeries[[#This Row],[Black Male Employees]]/M$318,"")</f>
        <v>1.7989841219053712E-2</v>
      </c>
      <c r="M280" s="16">
        <v>2249</v>
      </c>
      <c r="N280" s="17">
        <v>116921.866607381</v>
      </c>
      <c r="O280" s="18">
        <f>IFERROR(PayGapsForMalesInRacialEthnicGroupsByOccupationalSeries[[#This Row],[Black Male Avg Salary]]/PayGapsForMalesInRacialEthnicGroupsByOccupationalSeries[[#This Row],[White Male Average Salary]],"")</f>
        <v>0.98781907977792971</v>
      </c>
      <c r="P280" s="15">
        <f>IFERROR(PayGapsForMalesInRacialEthnicGroupsByOccupationalSeries[[#This Row],[Hispanic Latino Male Employees]]/Q$318,"")</f>
        <v>3.537196466869276E-2</v>
      </c>
      <c r="Q280" s="16">
        <v>3480</v>
      </c>
      <c r="R280" s="17">
        <v>116144.240298936</v>
      </c>
      <c r="S280" s="18">
        <f>IFERROR(PayGapsForMalesInRacialEthnicGroupsByOccupationalSeries[[#This Row],[Hispanic Latino Male Avg Salary]]/PayGapsForMalesInRacialEthnicGroupsByOccupationalSeries[[#This Row],[White Male Average Salary]],"")</f>
        <v>0.98124927272037832</v>
      </c>
      <c r="T280" s="15">
        <f>IFERROR(PayGapsForMalesInRacialEthnicGroupsByOccupationalSeries[[#This Row],[Other Male Employees]]/U$318,"")</f>
        <v>2.869233150995975E-2</v>
      </c>
      <c r="U280" s="16">
        <v>556</v>
      </c>
      <c r="V280" s="17">
        <v>108233.492805755</v>
      </c>
      <c r="W280" s="18">
        <f>IFERROR(PayGapsForMalesInRacialEthnicGroupsByOccupationalSeries[[#This Row],[Other Male Avg Salary]]/PayGapsForMalesInRacialEthnicGroupsByOccupationalSeries[[#This Row],[White Male Average Salary]],"")</f>
        <v>0.91441500522352059</v>
      </c>
    </row>
    <row r="281" spans="1:23" ht="31.2" x14ac:dyDescent="0.3">
      <c r="A281" s="4" t="s">
        <v>289</v>
      </c>
      <c r="B281" s="25">
        <v>904</v>
      </c>
      <c r="C281" s="26">
        <v>98365.689159292</v>
      </c>
      <c r="D281" s="15" t="str">
        <f>IFERROR(PayGapsForMalesInRacialEthnicGroupsByOccupationalSeries[[#This Row],[AIAN Male Employees]]/E$318,"")</f>
        <v/>
      </c>
      <c r="E281" s="16" t="s">
        <v>0</v>
      </c>
      <c r="F281" s="17" t="s">
        <v>0</v>
      </c>
      <c r="G281" s="18" t="s">
        <v>0</v>
      </c>
      <c r="H281" s="15" t="str">
        <f>IFERROR(PayGapsForMalesInRacialEthnicGroupsByOccupationalSeries[[#This Row],[ANHPI Male Employees]]/I$318,"")</f>
        <v/>
      </c>
      <c r="I281" s="16" t="s">
        <v>0</v>
      </c>
      <c r="J281" s="17" t="s">
        <v>0</v>
      </c>
      <c r="K281" s="18" t="s">
        <v>0</v>
      </c>
      <c r="L281" s="15" t="str">
        <f>IFERROR(PayGapsForMalesInRacialEthnicGroupsByOccupationalSeries[[#This Row],[Black Male Employees]]/M$318,"")</f>
        <v/>
      </c>
      <c r="M281" s="16" t="s">
        <v>0</v>
      </c>
      <c r="N281" s="17" t="s">
        <v>0</v>
      </c>
      <c r="O281" s="18" t="str">
        <f>IFERROR(PayGapsForMalesInRacialEthnicGroupsByOccupationalSeries[[#This Row],[Black Male Avg Salary]]/PayGapsForMalesInRacialEthnicGroupsByOccupationalSeries[[#This Row],[White Male Average Salary]],"")</f>
        <v/>
      </c>
      <c r="P281" s="15" t="str">
        <f>IFERROR(PayGapsForMalesInRacialEthnicGroupsByOccupationalSeries[[#This Row],[Hispanic Latino Male Employees]]/Q$318,"")</f>
        <v/>
      </c>
      <c r="Q281" s="16" t="s">
        <v>0</v>
      </c>
      <c r="R281" s="17" t="s">
        <v>0</v>
      </c>
      <c r="S28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81" s="15" t="str">
        <f>IFERROR(PayGapsForMalesInRacialEthnicGroupsByOccupationalSeries[[#This Row],[Other Male Employees]]/U$318,"")</f>
        <v/>
      </c>
      <c r="U281" s="16" t="s">
        <v>0</v>
      </c>
      <c r="V281" s="17" t="s">
        <v>0</v>
      </c>
      <c r="W28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82" spans="1:23" ht="15.6" x14ac:dyDescent="0.3">
      <c r="A282" s="4" t="s">
        <v>290</v>
      </c>
      <c r="B282" s="25">
        <v>3185</v>
      </c>
      <c r="C282" s="26">
        <v>128293.25031407</v>
      </c>
      <c r="D282" s="15" t="str">
        <f>IFERROR(PayGapsForMalesInRacialEthnicGroupsByOccupationalSeries[[#This Row],[AIAN Male Employees]]/E$318,"")</f>
        <v/>
      </c>
      <c r="E282" s="16" t="s">
        <v>0</v>
      </c>
      <c r="F282" s="17" t="s">
        <v>0</v>
      </c>
      <c r="G282" s="18" t="s">
        <v>0</v>
      </c>
      <c r="H282" s="15">
        <f>IFERROR(PayGapsForMalesInRacialEthnicGroupsByOccupationalSeries[[#This Row],[ANHPI Male Employees]]/I$318,"")</f>
        <v>1.4534883720930232E-3</v>
      </c>
      <c r="I282" s="16">
        <v>96</v>
      </c>
      <c r="J282" s="17">
        <v>125795.9375</v>
      </c>
      <c r="K282" s="18">
        <f>PayGapsForMalesInRacialEthnicGroupsByOccupationalSeries[[#This Row],[ANHPI Male Avg Salary]]/PayGapsForMalesInRacialEthnicGroupsByOccupationalSeries[[#This Row],[White Male Average Salary]]</f>
        <v>0.98053433981946503</v>
      </c>
      <c r="L282" s="15">
        <f>IFERROR(PayGapsForMalesInRacialEthnicGroupsByOccupationalSeries[[#This Row],[Black Male Employees]]/M$318,"")</f>
        <v>1.5998080230372356E-3</v>
      </c>
      <c r="M282" s="16">
        <v>200</v>
      </c>
      <c r="N282" s="17">
        <v>132147.76500000001</v>
      </c>
      <c r="O282" s="18">
        <f>IFERROR(PayGapsForMalesInRacialEthnicGroupsByOccupationalSeries[[#This Row],[Black Male Avg Salary]]/PayGapsForMalesInRacialEthnicGroupsByOccupationalSeries[[#This Row],[White Male Average Salary]],"")</f>
        <v>1.0300445633460367</v>
      </c>
      <c r="P282" s="15">
        <f>IFERROR(PayGapsForMalesInRacialEthnicGroupsByOccupationalSeries[[#This Row],[Hispanic Latino Male Employees]]/Q$318,"")</f>
        <v>3.2221013793033351E-3</v>
      </c>
      <c r="Q282" s="16">
        <v>317</v>
      </c>
      <c r="R282" s="17">
        <v>126991.72555205</v>
      </c>
      <c r="S282" s="18">
        <f>IFERROR(PayGapsForMalesInRacialEthnicGroupsByOccupationalSeries[[#This Row],[Hispanic Latino Male Avg Salary]]/PayGapsForMalesInRacialEthnicGroupsByOccupationalSeries[[#This Row],[White Male Average Salary]],"")</f>
        <v>0.98985507999186406</v>
      </c>
      <c r="T282" s="15" t="str">
        <f>IFERROR(PayGapsForMalesInRacialEthnicGroupsByOccupationalSeries[[#This Row],[Other Male Employees]]/U$318,"")</f>
        <v/>
      </c>
      <c r="U282" s="16" t="s">
        <v>0</v>
      </c>
      <c r="V282" s="17" t="s">
        <v>0</v>
      </c>
      <c r="W28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83" spans="1:23" ht="31.2" x14ac:dyDescent="0.3">
      <c r="A283" s="4" t="s">
        <v>291</v>
      </c>
      <c r="B283" s="25">
        <v>163</v>
      </c>
      <c r="C283" s="26">
        <v>216868.337423313</v>
      </c>
      <c r="D283" s="15" t="str">
        <f>IFERROR(PayGapsForMalesInRacialEthnicGroupsByOccupationalSeries[[#This Row],[AIAN Male Employees]]/E$318,"")</f>
        <v/>
      </c>
      <c r="E283" s="16" t="s">
        <v>0</v>
      </c>
      <c r="F283" s="17" t="s">
        <v>0</v>
      </c>
      <c r="G283" s="18" t="s">
        <v>0</v>
      </c>
      <c r="H283" s="15" t="str">
        <f>IFERROR(PayGapsForMalesInRacialEthnicGroupsByOccupationalSeries[[#This Row],[ANHPI Male Employees]]/I$318,"")</f>
        <v/>
      </c>
      <c r="I283" s="16" t="s">
        <v>0</v>
      </c>
      <c r="J283" s="17" t="s">
        <v>0</v>
      </c>
      <c r="K283" s="18" t="s">
        <v>0</v>
      </c>
      <c r="L283" s="15" t="str">
        <f>IFERROR(PayGapsForMalesInRacialEthnicGroupsByOccupationalSeries[[#This Row],[Black Male Employees]]/M$318,"")</f>
        <v/>
      </c>
      <c r="M283" s="16" t="s">
        <v>0</v>
      </c>
      <c r="N283" s="17" t="s">
        <v>0</v>
      </c>
      <c r="O283" s="18" t="str">
        <f>IFERROR(PayGapsForMalesInRacialEthnicGroupsByOccupationalSeries[[#This Row],[Black Male Avg Salary]]/PayGapsForMalesInRacialEthnicGroupsByOccupationalSeries[[#This Row],[White Male Average Salary]],"")</f>
        <v/>
      </c>
      <c r="P283" s="15" t="str">
        <f>IFERROR(PayGapsForMalesInRacialEthnicGroupsByOccupationalSeries[[#This Row],[Hispanic Latino Male Employees]]/Q$318,"")</f>
        <v/>
      </c>
      <c r="Q283" s="16" t="s">
        <v>0</v>
      </c>
      <c r="R283" s="17" t="s">
        <v>0</v>
      </c>
      <c r="S283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83" s="15" t="str">
        <f>IFERROR(PayGapsForMalesInRacialEthnicGroupsByOccupationalSeries[[#This Row],[Other Male Employees]]/U$318,"")</f>
        <v/>
      </c>
      <c r="U283" s="16" t="s">
        <v>0</v>
      </c>
      <c r="V283" s="17" t="s">
        <v>0</v>
      </c>
      <c r="W28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84" spans="1:23" ht="31.2" x14ac:dyDescent="0.3">
      <c r="A284" s="4" t="s">
        <v>292</v>
      </c>
      <c r="B284" s="25">
        <v>253</v>
      </c>
      <c r="C284" s="26">
        <v>99813.015810276993</v>
      </c>
      <c r="D284" s="15" t="str">
        <f>IFERROR(PayGapsForMalesInRacialEthnicGroupsByOccupationalSeries[[#This Row],[AIAN Male Employees]]/E$318,"")</f>
        <v/>
      </c>
      <c r="E284" s="16" t="s">
        <v>0</v>
      </c>
      <c r="F284" s="17" t="s">
        <v>0</v>
      </c>
      <c r="G284" s="18" t="s">
        <v>0</v>
      </c>
      <c r="H284" s="15" t="str">
        <f>IFERROR(PayGapsForMalesInRacialEthnicGroupsByOccupationalSeries[[#This Row],[ANHPI Male Employees]]/I$318,"")</f>
        <v/>
      </c>
      <c r="I284" s="16" t="s">
        <v>0</v>
      </c>
      <c r="J284" s="17" t="s">
        <v>0</v>
      </c>
      <c r="K284" s="18" t="s">
        <v>0</v>
      </c>
      <c r="L284" s="15">
        <f>IFERROR(PayGapsForMalesInRacialEthnicGroupsByOccupationalSeries[[#This Row],[Black Male Employees]]/M$318,"")</f>
        <v>5.2793664760228778E-4</v>
      </c>
      <c r="M284" s="16">
        <v>66</v>
      </c>
      <c r="N284" s="17">
        <v>102518.939393939</v>
      </c>
      <c r="O284" s="18">
        <f>IFERROR(PayGapsForMalesInRacialEthnicGroupsByOccupationalSeries[[#This Row],[Black Male Avg Salary]]/PayGapsForMalesInRacialEthnicGroupsByOccupationalSeries[[#This Row],[White Male Average Salary]],"")</f>
        <v>1.027109927114169</v>
      </c>
      <c r="P284" s="15">
        <f>IFERROR(PayGapsForMalesInRacialEthnicGroupsByOccupationalSeries[[#This Row],[Hispanic Latino Male Employees]]/Q$318,"")</f>
        <v>1.9413923137127349E-3</v>
      </c>
      <c r="Q284" s="16">
        <v>191</v>
      </c>
      <c r="R284" s="17">
        <v>95380.371727749007</v>
      </c>
      <c r="S284" s="18">
        <f>IFERROR(PayGapsForMalesInRacialEthnicGroupsByOccupationalSeries[[#This Row],[Hispanic Latino Male Avg Salary]]/PayGapsForMalesInRacialEthnicGroupsByOccupationalSeries[[#This Row],[White Male Average Salary]],"")</f>
        <v>0.95559052046925941</v>
      </c>
      <c r="T284" s="15" t="str">
        <f>IFERROR(PayGapsForMalesInRacialEthnicGroupsByOccupationalSeries[[#This Row],[Other Male Employees]]/U$318,"")</f>
        <v/>
      </c>
      <c r="U284" s="16" t="s">
        <v>0</v>
      </c>
      <c r="V284" s="17" t="s">
        <v>0</v>
      </c>
      <c r="W28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85" spans="1:23" ht="15.6" x14ac:dyDescent="0.3">
      <c r="A285" s="4" t="s">
        <v>293</v>
      </c>
      <c r="B285" s="25">
        <v>130</v>
      </c>
      <c r="C285" s="26">
        <v>94689.084615385</v>
      </c>
      <c r="D285" s="15" t="str">
        <f>IFERROR(PayGapsForMalesInRacialEthnicGroupsByOccupationalSeries[[#This Row],[AIAN Male Employees]]/E$318,"")</f>
        <v/>
      </c>
      <c r="E285" s="16" t="s">
        <v>0</v>
      </c>
      <c r="F285" s="17" t="s">
        <v>0</v>
      </c>
      <c r="G285" s="18" t="s">
        <v>0</v>
      </c>
      <c r="H285" s="15" t="str">
        <f>IFERROR(PayGapsForMalesInRacialEthnicGroupsByOccupationalSeries[[#This Row],[ANHPI Male Employees]]/I$318,"")</f>
        <v/>
      </c>
      <c r="I285" s="16" t="s">
        <v>0</v>
      </c>
      <c r="J285" s="17" t="s">
        <v>0</v>
      </c>
      <c r="K285" s="18" t="s">
        <v>0</v>
      </c>
      <c r="L285" s="15">
        <f>IFERROR(PayGapsForMalesInRacialEthnicGroupsByOccupationalSeries[[#This Row],[Black Male Employees]]/M$318,"")</f>
        <v>7.2791265048194212E-4</v>
      </c>
      <c r="M285" s="16">
        <v>91</v>
      </c>
      <c r="N285" s="17">
        <v>93086.538461538003</v>
      </c>
      <c r="O285" s="18">
        <f>IFERROR(PayGapsForMalesInRacialEthnicGroupsByOccupationalSeries[[#This Row],[Black Male Avg Salary]]/PayGapsForMalesInRacialEthnicGroupsByOccupationalSeries[[#This Row],[White Male Average Salary]],"")</f>
        <v>0.98307570338908301</v>
      </c>
      <c r="P285" s="15">
        <f>IFERROR(PayGapsForMalesInRacialEthnicGroupsByOccupationalSeries[[#This Row],[Hispanic Latino Male Employees]]/Q$318,"")</f>
        <v>8.8429911671731904E-4</v>
      </c>
      <c r="Q285" s="16">
        <v>87</v>
      </c>
      <c r="R285" s="17">
        <v>88537.586206897002</v>
      </c>
      <c r="S285" s="18">
        <f>IFERROR(PayGapsForMalesInRacialEthnicGroupsByOccupationalSeries[[#This Row],[Hispanic Latino Male Avg Salary]]/PayGapsForMalesInRacialEthnicGroupsByOccupationalSeries[[#This Row],[White Male Average Salary]],"")</f>
        <v>0.93503476738132385</v>
      </c>
      <c r="T285" s="15" t="str">
        <f>IFERROR(PayGapsForMalesInRacialEthnicGroupsByOccupationalSeries[[#This Row],[Other Male Employees]]/U$318,"")</f>
        <v/>
      </c>
      <c r="U285" s="16" t="s">
        <v>0</v>
      </c>
      <c r="V285" s="17" t="s">
        <v>0</v>
      </c>
      <c r="W28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86" spans="1:23" ht="15.6" x14ac:dyDescent="0.3">
      <c r="A286" s="4" t="s">
        <v>294</v>
      </c>
      <c r="B286" s="25">
        <v>1774</v>
      </c>
      <c r="C286" s="26">
        <v>66312.222724702995</v>
      </c>
      <c r="D286" s="15" t="str">
        <f>IFERROR(PayGapsForMalesInRacialEthnicGroupsByOccupationalSeries[[#This Row],[AIAN Male Employees]]/E$318,"")</f>
        <v/>
      </c>
      <c r="E286" s="16" t="s">
        <v>0</v>
      </c>
      <c r="F286" s="17" t="s">
        <v>0</v>
      </c>
      <c r="G286" s="18" t="s">
        <v>0</v>
      </c>
      <c r="H286" s="15">
        <f>IFERROR(PayGapsForMalesInRacialEthnicGroupsByOccupationalSeries[[#This Row],[ANHPI Male Employees]]/I$318,"")</f>
        <v>2.1499515503875968E-3</v>
      </c>
      <c r="I286" s="16">
        <v>142</v>
      </c>
      <c r="J286" s="17">
        <v>64484.823943661999</v>
      </c>
      <c r="K286" s="18">
        <f>PayGapsForMalesInRacialEthnicGroupsByOccupationalSeries[[#This Row],[ANHPI Male Avg Salary]]/PayGapsForMalesInRacialEthnicGroupsByOccupationalSeries[[#This Row],[White Male Average Salary]]</f>
        <v>0.97244250447421299</v>
      </c>
      <c r="L286" s="15">
        <f>IFERROR(PayGapsForMalesInRacialEthnicGroupsByOccupationalSeries[[#This Row],[Black Male Employees]]/M$318,"")</f>
        <v>3.191617005959285E-3</v>
      </c>
      <c r="M286" s="16">
        <v>399</v>
      </c>
      <c r="N286" s="17">
        <v>64020.387909320001</v>
      </c>
      <c r="O286" s="18">
        <f>IFERROR(PayGapsForMalesInRacialEthnicGroupsByOccupationalSeries[[#This Row],[Black Male Avg Salary]]/PayGapsForMalesInRacialEthnicGroupsByOccupationalSeries[[#This Row],[White Male Average Salary]],"")</f>
        <v>0.96543872726303248</v>
      </c>
      <c r="P286" s="15">
        <f>IFERROR(PayGapsForMalesInRacialEthnicGroupsByOccupationalSeries[[#This Row],[Hispanic Latino Male Employees]]/Q$318,"")</f>
        <v>3.7303192624742079E-3</v>
      </c>
      <c r="Q286" s="16">
        <v>367</v>
      </c>
      <c r="R286" s="17">
        <v>64031.863013699003</v>
      </c>
      <c r="S286" s="18">
        <f>IFERROR(PayGapsForMalesInRacialEthnicGroupsByOccupationalSeries[[#This Row],[Hispanic Latino Male Avg Salary]]/PayGapsForMalesInRacialEthnicGroupsByOccupationalSeries[[#This Row],[White Male Average Salary]],"")</f>
        <v>0.96561177385847907</v>
      </c>
      <c r="T286" s="15" t="str">
        <f>IFERROR(PayGapsForMalesInRacialEthnicGroupsByOccupationalSeries[[#This Row],[Other Male Employees]]/U$318,"")</f>
        <v/>
      </c>
      <c r="U286" s="16" t="s">
        <v>0</v>
      </c>
      <c r="V286" s="17" t="s">
        <v>0</v>
      </c>
      <c r="W28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87" spans="1:23" ht="15.6" x14ac:dyDescent="0.3">
      <c r="A287" s="4" t="s">
        <v>295</v>
      </c>
      <c r="B287" s="25">
        <v>347</v>
      </c>
      <c r="C287" s="26">
        <v>50256.729106628001</v>
      </c>
      <c r="D287" s="15" t="str">
        <f>IFERROR(PayGapsForMalesInRacialEthnicGroupsByOccupationalSeries[[#This Row],[AIAN Male Employees]]/E$318,"")</f>
        <v/>
      </c>
      <c r="E287" s="16" t="s">
        <v>0</v>
      </c>
      <c r="F287" s="17" t="s">
        <v>0</v>
      </c>
      <c r="G287" s="18" t="s">
        <v>0</v>
      </c>
      <c r="H287" s="15" t="str">
        <f>IFERROR(PayGapsForMalesInRacialEthnicGroupsByOccupationalSeries[[#This Row],[ANHPI Male Employees]]/I$318,"")</f>
        <v/>
      </c>
      <c r="I287" s="16" t="s">
        <v>0</v>
      </c>
      <c r="J287" s="17" t="s">
        <v>0</v>
      </c>
      <c r="K287" s="18" t="s">
        <v>0</v>
      </c>
      <c r="L287" s="15">
        <f>IFERROR(PayGapsForMalesInRacialEthnicGroupsByOccupationalSeries[[#This Row],[Black Male Employees]]/M$318,"")</f>
        <v>1.2078550573931129E-3</v>
      </c>
      <c r="M287" s="16">
        <v>151</v>
      </c>
      <c r="N287" s="17">
        <v>49402.920529800998</v>
      </c>
      <c r="O287" s="18">
        <f>IFERROR(PayGapsForMalesInRacialEthnicGroupsByOccupationalSeries[[#This Row],[Black Male Avg Salary]]/PayGapsForMalesInRacialEthnicGroupsByOccupationalSeries[[#This Row],[White Male Average Salary]],"")</f>
        <v>0.98301105957342538</v>
      </c>
      <c r="P287" s="15">
        <f>IFERROR(PayGapsForMalesInRacialEthnicGroupsByOccupationalSeries[[#This Row],[Hispanic Latino Male Employees]]/Q$318,"")</f>
        <v>1.3518595692345223E-3</v>
      </c>
      <c r="Q287" s="16">
        <v>133</v>
      </c>
      <c r="R287" s="17">
        <v>49787.714285713999</v>
      </c>
      <c r="S287" s="18">
        <f>IFERROR(PayGapsForMalesInRacialEthnicGroupsByOccupationalSeries[[#This Row],[Hispanic Latino Male Avg Salary]]/PayGapsForMalesInRacialEthnicGroupsByOccupationalSeries[[#This Row],[White Male Average Salary]],"")</f>
        <v>0.99066762144589815</v>
      </c>
      <c r="T287" s="15" t="str">
        <f>IFERROR(PayGapsForMalesInRacialEthnicGroupsByOccupationalSeries[[#This Row],[Other Male Employees]]/U$318,"")</f>
        <v/>
      </c>
      <c r="U287" s="16" t="s">
        <v>0</v>
      </c>
      <c r="V287" s="17" t="s">
        <v>0</v>
      </c>
      <c r="W28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88" spans="1:23" ht="31.2" x14ac:dyDescent="0.3">
      <c r="A288" s="4" t="s">
        <v>296</v>
      </c>
      <c r="B288" s="25">
        <v>441</v>
      </c>
      <c r="C288" s="26">
        <v>129535.723356009</v>
      </c>
      <c r="D288" s="15" t="str">
        <f>IFERROR(PayGapsForMalesInRacialEthnicGroupsByOccupationalSeries[[#This Row],[AIAN Male Employees]]/E$318,"")</f>
        <v/>
      </c>
      <c r="E288" s="16" t="s">
        <v>0</v>
      </c>
      <c r="F288" s="17" t="s">
        <v>0</v>
      </c>
      <c r="G288" s="18" t="s">
        <v>0</v>
      </c>
      <c r="H288" s="15" t="str">
        <f>IFERROR(PayGapsForMalesInRacialEthnicGroupsByOccupationalSeries[[#This Row],[ANHPI Male Employees]]/I$318,"")</f>
        <v/>
      </c>
      <c r="I288" s="16" t="s">
        <v>0</v>
      </c>
      <c r="J288" s="17" t="s">
        <v>0</v>
      </c>
      <c r="K288" s="18" t="s">
        <v>0</v>
      </c>
      <c r="L288" s="15" t="str">
        <f>IFERROR(PayGapsForMalesInRacialEthnicGroupsByOccupationalSeries[[#This Row],[Black Male Employees]]/M$318,"")</f>
        <v/>
      </c>
      <c r="M288" s="16" t="s">
        <v>0</v>
      </c>
      <c r="N288" s="17" t="s">
        <v>0</v>
      </c>
      <c r="O288" s="18" t="str">
        <f>IFERROR(PayGapsForMalesInRacialEthnicGroupsByOccupationalSeries[[#This Row],[Black Male Avg Salary]]/PayGapsForMalesInRacialEthnicGroupsByOccupationalSeries[[#This Row],[White Male Average Salary]],"")</f>
        <v/>
      </c>
      <c r="P288" s="15" t="str">
        <f>IFERROR(PayGapsForMalesInRacialEthnicGroupsByOccupationalSeries[[#This Row],[Hispanic Latino Male Employees]]/Q$318,"")</f>
        <v/>
      </c>
      <c r="Q288" s="16" t="s">
        <v>0</v>
      </c>
      <c r="R288" s="17" t="s">
        <v>0</v>
      </c>
      <c r="S28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88" s="15" t="str">
        <f>IFERROR(PayGapsForMalesInRacialEthnicGroupsByOccupationalSeries[[#This Row],[Other Male Employees]]/U$318,"")</f>
        <v/>
      </c>
      <c r="U288" s="16" t="s">
        <v>0</v>
      </c>
      <c r="V288" s="17" t="s">
        <v>0</v>
      </c>
      <c r="W28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89" spans="1:23" ht="15.6" x14ac:dyDescent="0.3">
      <c r="A289" s="4" t="s">
        <v>297</v>
      </c>
      <c r="B289" s="25">
        <v>290</v>
      </c>
      <c r="C289" s="26">
        <v>98795.562068965999</v>
      </c>
      <c r="D289" s="15" t="str">
        <f>IFERROR(PayGapsForMalesInRacialEthnicGroupsByOccupationalSeries[[#This Row],[AIAN Male Employees]]/E$318,"")</f>
        <v/>
      </c>
      <c r="E289" s="16" t="s">
        <v>0</v>
      </c>
      <c r="F289" s="17" t="s">
        <v>0</v>
      </c>
      <c r="G289" s="18" t="s">
        <v>0</v>
      </c>
      <c r="H289" s="15" t="str">
        <f>IFERROR(PayGapsForMalesInRacialEthnicGroupsByOccupationalSeries[[#This Row],[ANHPI Male Employees]]/I$318,"")</f>
        <v/>
      </c>
      <c r="I289" s="16" t="s">
        <v>0</v>
      </c>
      <c r="J289" s="17" t="s">
        <v>0</v>
      </c>
      <c r="K289" s="18" t="s">
        <v>0</v>
      </c>
      <c r="L289" s="15">
        <f>IFERROR(PayGapsForMalesInRacialEthnicGroupsByOccupationalSeries[[#This Row],[Black Male Employees]]/M$318,"")</f>
        <v>4.399472063352398E-4</v>
      </c>
      <c r="M289" s="16">
        <v>55</v>
      </c>
      <c r="N289" s="17">
        <v>93313.236363635995</v>
      </c>
      <c r="O289" s="18">
        <f>IFERROR(PayGapsForMalesInRacialEthnicGroupsByOccupationalSeries[[#This Row],[Black Male Avg Salary]]/PayGapsForMalesInRacialEthnicGroupsByOccupationalSeries[[#This Row],[White Male Average Salary]],"")</f>
        <v>0.94450838083695532</v>
      </c>
      <c r="P289" s="15">
        <f>IFERROR(PayGapsForMalesInRacialEthnicGroupsByOccupationalSeries[[#This Row],[Hispanic Latino Male Employees]]/Q$318,"")</f>
        <v>6.9117632111238727E-4</v>
      </c>
      <c r="Q289" s="16">
        <v>68</v>
      </c>
      <c r="R289" s="17">
        <v>97354.955882352995</v>
      </c>
      <c r="S289" s="18">
        <f>IFERROR(PayGapsForMalesInRacialEthnicGroupsByOccupationalSeries[[#This Row],[Hispanic Latino Male Avg Salary]]/PayGapsForMalesInRacialEthnicGroupsByOccupationalSeries[[#This Row],[White Male Average Salary]],"")</f>
        <v>0.98541831073740571</v>
      </c>
      <c r="T289" s="15" t="str">
        <f>IFERROR(PayGapsForMalesInRacialEthnicGroupsByOccupationalSeries[[#This Row],[Other Male Employees]]/U$318,"")</f>
        <v/>
      </c>
      <c r="U289" s="16" t="s">
        <v>0</v>
      </c>
      <c r="V289" s="17" t="s">
        <v>0</v>
      </c>
      <c r="W28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90" spans="1:23" ht="15.6" x14ac:dyDescent="0.3">
      <c r="A290" s="4" t="s">
        <v>298</v>
      </c>
      <c r="B290" s="25">
        <v>96</v>
      </c>
      <c r="C290" s="26">
        <v>91378.864583332994</v>
      </c>
      <c r="D290" s="15" t="str">
        <f>IFERROR(PayGapsForMalesInRacialEthnicGroupsByOccupationalSeries[[#This Row],[AIAN Male Employees]]/E$318,"")</f>
        <v/>
      </c>
      <c r="E290" s="16" t="s">
        <v>0</v>
      </c>
      <c r="F290" s="17" t="s">
        <v>0</v>
      </c>
      <c r="G290" s="18" t="s">
        <v>0</v>
      </c>
      <c r="H290" s="15" t="str">
        <f>IFERROR(PayGapsForMalesInRacialEthnicGroupsByOccupationalSeries[[#This Row],[ANHPI Male Employees]]/I$318,"")</f>
        <v/>
      </c>
      <c r="I290" s="16" t="s">
        <v>0</v>
      </c>
      <c r="J290" s="17" t="s">
        <v>0</v>
      </c>
      <c r="K290" s="18" t="s">
        <v>0</v>
      </c>
      <c r="L290" s="15">
        <f>IFERROR(PayGapsForMalesInRacialEthnicGroupsByOccupationalSeries[[#This Row],[Black Male Employees]]/M$318,"")</f>
        <v>1.9997600287965445E-4</v>
      </c>
      <c r="M290" s="16">
        <v>25</v>
      </c>
      <c r="N290" s="17">
        <v>90931.08</v>
      </c>
      <c r="O290" s="18">
        <f>IFERROR(PayGapsForMalesInRacialEthnicGroupsByOccupationalSeries[[#This Row],[Black Male Avg Salary]]/PayGapsForMalesInRacialEthnicGroupsByOccupationalSeries[[#This Row],[White Male Average Salary]],"")</f>
        <v>0.99509969197609549</v>
      </c>
      <c r="P290" s="15" t="str">
        <f>IFERROR(PayGapsForMalesInRacialEthnicGroupsByOccupationalSeries[[#This Row],[Hispanic Latino Male Employees]]/Q$318,"")</f>
        <v/>
      </c>
      <c r="Q290" s="16" t="s">
        <v>0</v>
      </c>
      <c r="R290" s="17" t="s">
        <v>0</v>
      </c>
      <c r="S29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90" s="15" t="str">
        <f>IFERROR(PayGapsForMalesInRacialEthnicGroupsByOccupationalSeries[[#This Row],[Other Male Employees]]/U$318,"")</f>
        <v/>
      </c>
      <c r="U290" s="16" t="s">
        <v>0</v>
      </c>
      <c r="V290" s="17" t="s">
        <v>0</v>
      </c>
      <c r="W29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91" spans="1:23" ht="15.6" x14ac:dyDescent="0.3">
      <c r="A291" s="4" t="s">
        <v>299</v>
      </c>
      <c r="B291" s="25">
        <v>10755</v>
      </c>
      <c r="C291" s="26">
        <v>98799.268898187001</v>
      </c>
      <c r="D291" s="15">
        <f>IFERROR(PayGapsForMalesInRacialEthnicGroupsByOccupationalSeries[[#This Row],[AIAN Male Employees]]/E$318,"")</f>
        <v>8.1466395112016286E-3</v>
      </c>
      <c r="E291" s="16">
        <v>80</v>
      </c>
      <c r="F291" s="17">
        <v>95421.063291138998</v>
      </c>
      <c r="G291" s="18">
        <f>PayGapsForMalesInRacialEthnicGroupsByOccupationalSeries[[#This Row],[AIAN Male Avg Salary]]/PayGapsForMalesInRacialEthnicGroupsByOccupationalSeries[[#This Row],[White Male Average Salary]]</f>
        <v>0.96580738253711917</v>
      </c>
      <c r="H291" s="15">
        <f>IFERROR(PayGapsForMalesInRacialEthnicGroupsByOccupationalSeries[[#This Row],[ANHPI Male Employees]]/I$318,"")</f>
        <v>2.1650920542635659E-2</v>
      </c>
      <c r="I291" s="16">
        <v>1430</v>
      </c>
      <c r="J291" s="17">
        <v>103850.293706294</v>
      </c>
      <c r="K291" s="18">
        <f>PayGapsForMalesInRacialEthnicGroupsByOccupationalSeries[[#This Row],[ANHPI Male Avg Salary]]/PayGapsForMalesInRacialEthnicGroupsByOccupationalSeries[[#This Row],[White Male Average Salary]]</f>
        <v>1.0511241111845888</v>
      </c>
      <c r="L291" s="15">
        <f>IFERROR(PayGapsForMalesInRacialEthnicGroupsByOccupationalSeries[[#This Row],[Black Male Employees]]/M$318,"")</f>
        <v>1.2942446906371235E-2</v>
      </c>
      <c r="M291" s="16">
        <v>1618</v>
      </c>
      <c r="N291" s="17">
        <v>96224.346724350995</v>
      </c>
      <c r="O291" s="18">
        <f>IFERROR(PayGapsForMalesInRacialEthnicGroupsByOccupationalSeries[[#This Row],[Black Male Avg Salary]]/PayGapsForMalesInRacialEthnicGroupsByOccupationalSeries[[#This Row],[White Male Average Salary]],"")</f>
        <v>0.97393784182260024</v>
      </c>
      <c r="P291" s="15">
        <f>IFERROR(PayGapsForMalesInRacialEthnicGroupsByOccupationalSeries[[#This Row],[Hispanic Latino Male Employees]]/Q$318,"")</f>
        <v>6.3212140308793185E-2</v>
      </c>
      <c r="Q291" s="16">
        <v>6219</v>
      </c>
      <c r="R291" s="17">
        <v>97258.272156988998</v>
      </c>
      <c r="S291" s="18">
        <f>IFERROR(PayGapsForMalesInRacialEthnicGroupsByOccupationalSeries[[#This Row],[Hispanic Latino Male Avg Salary]]/PayGapsForMalesInRacialEthnicGroupsByOccupationalSeries[[#This Row],[White Male Average Salary]],"")</f>
        <v>0.98440275157515578</v>
      </c>
      <c r="T291" s="15">
        <f>IFERROR(PayGapsForMalesInRacialEthnicGroupsByOccupationalSeries[[#This Row],[Other Male Employees]]/U$318,"")</f>
        <v>2.0125915987201981E-2</v>
      </c>
      <c r="U291" s="16">
        <v>390</v>
      </c>
      <c r="V291" s="17">
        <v>97589.202564103005</v>
      </c>
      <c r="W291" s="18">
        <f>IFERROR(PayGapsForMalesInRacialEthnicGroupsByOccupationalSeries[[#This Row],[Other Male Avg Salary]]/PayGapsForMalesInRacialEthnicGroupsByOccupationalSeries[[#This Row],[White Male Average Salary]],"")</f>
        <v>0.98775227440872082</v>
      </c>
    </row>
    <row r="292" spans="1:23" ht="31.2" x14ac:dyDescent="0.3">
      <c r="A292" s="4" t="s">
        <v>300</v>
      </c>
      <c r="B292" s="25">
        <v>8816</v>
      </c>
      <c r="C292" s="26">
        <v>92840.065222322999</v>
      </c>
      <c r="D292" s="15" t="str">
        <f>IFERROR(PayGapsForMalesInRacialEthnicGroupsByOccupationalSeries[[#This Row],[AIAN Male Employees]]/E$318,"")</f>
        <v/>
      </c>
      <c r="E292" s="16" t="s">
        <v>0</v>
      </c>
      <c r="F292" s="17" t="s">
        <v>0</v>
      </c>
      <c r="G292" s="18" t="s">
        <v>0</v>
      </c>
      <c r="H292" s="15">
        <f>IFERROR(PayGapsForMalesInRacialEthnicGroupsByOccupationalSeries[[#This Row],[ANHPI Male Employees]]/I$318,"")</f>
        <v>2.7707122093023257E-3</v>
      </c>
      <c r="I292" s="16">
        <v>183</v>
      </c>
      <c r="J292" s="17">
        <v>98157.311475409995</v>
      </c>
      <c r="K292" s="18">
        <f>PayGapsForMalesInRacialEthnicGroupsByOccupationalSeries[[#This Row],[ANHPI Male Avg Salary]]/PayGapsForMalesInRacialEthnicGroupsByOccupationalSeries[[#This Row],[White Male Average Salary]]</f>
        <v>1.0572731852390866</v>
      </c>
      <c r="L292" s="15">
        <f>IFERROR(PayGapsForMalesInRacialEthnicGroupsByOccupationalSeries[[#This Row],[Black Male Employees]]/M$318,"")</f>
        <v>2.6236851577810662E-3</v>
      </c>
      <c r="M292" s="16">
        <v>328</v>
      </c>
      <c r="N292" s="17">
        <v>88644.067073170998</v>
      </c>
      <c r="O292" s="18">
        <f>IFERROR(PayGapsForMalesInRacialEthnicGroupsByOccupationalSeries[[#This Row],[Black Male Avg Salary]]/PayGapsForMalesInRacialEthnicGroupsByOccupationalSeries[[#This Row],[White Male Average Salary]],"")</f>
        <v>0.95480401549585414</v>
      </c>
      <c r="P292" s="15">
        <f>IFERROR(PayGapsForMalesInRacialEthnicGroupsByOccupationalSeries[[#This Row],[Hispanic Latino Male Employees]]/Q$318,"")</f>
        <v>8.6498683715682589E-2</v>
      </c>
      <c r="Q292" s="16">
        <v>8510</v>
      </c>
      <c r="R292" s="17">
        <v>100256.828299448</v>
      </c>
      <c r="S292" s="18">
        <f>IFERROR(PayGapsForMalesInRacialEthnicGroupsByOccupationalSeries[[#This Row],[Hispanic Latino Male Avg Salary]]/PayGapsForMalesInRacialEthnicGroupsByOccupationalSeries[[#This Row],[White Male Average Salary]],"")</f>
        <v>1.0798875254919755</v>
      </c>
      <c r="T292" s="15">
        <f>IFERROR(PayGapsForMalesInRacialEthnicGroupsByOccupationalSeries[[#This Row],[Other Male Employees]]/U$318,"")</f>
        <v>1.0579007121477964E-2</v>
      </c>
      <c r="U292" s="16">
        <v>205</v>
      </c>
      <c r="V292" s="17">
        <v>95090.931707316995</v>
      </c>
      <c r="W292" s="18">
        <f>IFERROR(PayGapsForMalesInRacialEthnicGroupsByOccupationalSeries[[#This Row],[Other Male Avg Salary]]/PayGapsForMalesInRacialEthnicGroupsByOccupationalSeries[[#This Row],[White Male Average Salary]],"")</f>
        <v>1.0242445594970648</v>
      </c>
    </row>
    <row r="293" spans="1:23" ht="15.6" x14ac:dyDescent="0.3">
      <c r="A293" s="4" t="s">
        <v>301</v>
      </c>
      <c r="B293" s="25">
        <v>6041</v>
      </c>
      <c r="C293" s="26">
        <v>90242.295364238002</v>
      </c>
      <c r="D293" s="15" t="str">
        <f>IFERROR(PayGapsForMalesInRacialEthnicGroupsByOccupationalSeries[[#This Row],[AIAN Male Employees]]/E$318,"")</f>
        <v/>
      </c>
      <c r="E293" s="16" t="s">
        <v>0</v>
      </c>
      <c r="F293" s="17" t="s">
        <v>0</v>
      </c>
      <c r="G293" s="18" t="s">
        <v>0</v>
      </c>
      <c r="H293" s="15">
        <f>IFERROR(PayGapsForMalesInRacialEthnicGroupsByOccupationalSeries[[#This Row],[ANHPI Male Employees]]/I$318,"")</f>
        <v>4.6329941860465121E-3</v>
      </c>
      <c r="I293" s="16">
        <v>306</v>
      </c>
      <c r="J293" s="17">
        <v>90500.140522875998</v>
      </c>
      <c r="K293" s="18">
        <f>PayGapsForMalesInRacialEthnicGroupsByOccupationalSeries[[#This Row],[ANHPI Male Avg Salary]]/PayGapsForMalesInRacialEthnicGroupsByOccupationalSeries[[#This Row],[White Male Average Salary]]</f>
        <v>1.002857253991571</v>
      </c>
      <c r="L293" s="15">
        <f>IFERROR(PayGapsForMalesInRacialEthnicGroupsByOccupationalSeries[[#This Row],[Black Male Employees]]/M$318,"")</f>
        <v>7.8070631524217093E-3</v>
      </c>
      <c r="M293" s="16">
        <v>976</v>
      </c>
      <c r="N293" s="17">
        <v>86747.518974359002</v>
      </c>
      <c r="O293" s="18">
        <f>IFERROR(PayGapsForMalesInRacialEthnicGroupsByOccupationalSeries[[#This Row],[Black Male Avg Salary]]/PayGapsForMalesInRacialEthnicGroupsByOccupationalSeries[[#This Row],[White Male Average Salary]],"")</f>
        <v>0.96127340981550502</v>
      </c>
      <c r="P293" s="15">
        <f>IFERROR(PayGapsForMalesInRacialEthnicGroupsByOccupationalSeries[[#This Row],[Hispanic Latino Male Employees]]/Q$318,"")</f>
        <v>6.1291076710407282E-3</v>
      </c>
      <c r="Q293" s="16">
        <v>603</v>
      </c>
      <c r="R293" s="17">
        <v>87323.270315090995</v>
      </c>
      <c r="S293" s="18">
        <f>IFERROR(PayGapsForMalesInRacialEthnicGroupsByOccupationalSeries[[#This Row],[Hispanic Latino Male Avg Salary]]/PayGapsForMalesInRacialEthnicGroupsByOccupationalSeries[[#This Row],[White Male Average Salary]],"")</f>
        <v>0.96765347072162589</v>
      </c>
      <c r="T293" s="15">
        <f>IFERROR(PayGapsForMalesInRacialEthnicGroupsByOccupationalSeries[[#This Row],[Other Male Employees]]/U$318,"")</f>
        <v>1.0991846423779544E-2</v>
      </c>
      <c r="U293" s="16">
        <v>213</v>
      </c>
      <c r="V293" s="17">
        <v>87027.882629108004</v>
      </c>
      <c r="W293" s="18">
        <f>IFERROR(PayGapsForMalesInRacialEthnicGroupsByOccupationalSeries[[#This Row],[Other Male Avg Salary]]/PayGapsForMalesInRacialEthnicGroupsByOccupationalSeries[[#This Row],[White Male Average Salary]],"")</f>
        <v>0.96438019753203408</v>
      </c>
    </row>
    <row r="294" spans="1:23" ht="31.2" x14ac:dyDescent="0.3">
      <c r="A294" s="4" t="s">
        <v>302</v>
      </c>
      <c r="B294" s="25">
        <v>504</v>
      </c>
      <c r="C294" s="26">
        <v>69065.697813121005</v>
      </c>
      <c r="D294" s="15" t="str">
        <f>IFERROR(PayGapsForMalesInRacialEthnicGroupsByOccupationalSeries[[#This Row],[AIAN Male Employees]]/E$318,"")</f>
        <v/>
      </c>
      <c r="E294" s="16" t="s">
        <v>0</v>
      </c>
      <c r="F294" s="17" t="s">
        <v>0</v>
      </c>
      <c r="G294" s="18" t="s">
        <v>0</v>
      </c>
      <c r="H294" s="15" t="str">
        <f>IFERROR(PayGapsForMalesInRacialEthnicGroupsByOccupationalSeries[[#This Row],[ANHPI Male Employees]]/I$318,"")</f>
        <v/>
      </c>
      <c r="I294" s="16" t="s">
        <v>0</v>
      </c>
      <c r="J294" s="17" t="s">
        <v>0</v>
      </c>
      <c r="K294" s="18" t="s">
        <v>0</v>
      </c>
      <c r="L294" s="15">
        <f>IFERROR(PayGapsForMalesInRacialEthnicGroupsByOccupationalSeries[[#This Row],[Black Male Employees]]/M$318,"")</f>
        <v>1.2078550573931129E-3</v>
      </c>
      <c r="M294" s="16">
        <v>151</v>
      </c>
      <c r="N294" s="17">
        <v>67368.406666666997</v>
      </c>
      <c r="O294" s="18">
        <f>IFERROR(PayGapsForMalesInRacialEthnicGroupsByOccupationalSeries[[#This Row],[Black Male Avg Salary]]/PayGapsForMalesInRacialEthnicGroupsByOccupationalSeries[[#This Row],[White Male Average Salary]],"")</f>
        <v>0.97542497650502913</v>
      </c>
      <c r="P294" s="15">
        <f>IFERROR(PayGapsForMalesInRacialEthnicGroupsByOccupationalSeries[[#This Row],[Hispanic Latino Male Employees]]/Q$318,"")</f>
        <v>1.036764481668581E-3</v>
      </c>
      <c r="Q294" s="16">
        <v>102</v>
      </c>
      <c r="R294" s="17">
        <v>67943.323529411995</v>
      </c>
      <c r="S294" s="18">
        <f>IFERROR(PayGapsForMalesInRacialEthnicGroupsByOccupationalSeries[[#This Row],[Hispanic Latino Male Avg Salary]]/PayGapsForMalesInRacialEthnicGroupsByOccupationalSeries[[#This Row],[White Male Average Salary]],"")</f>
        <v>0.9837491791258528</v>
      </c>
      <c r="T294" s="15" t="str">
        <f>IFERROR(PayGapsForMalesInRacialEthnicGroupsByOccupationalSeries[[#This Row],[Other Male Employees]]/U$318,"")</f>
        <v/>
      </c>
      <c r="U294" s="16" t="s">
        <v>0</v>
      </c>
      <c r="V294" s="17" t="s">
        <v>0</v>
      </c>
      <c r="W29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295" spans="1:23" ht="15.6" x14ac:dyDescent="0.3">
      <c r="A295" s="4" t="s">
        <v>303</v>
      </c>
      <c r="B295" s="25">
        <v>1365</v>
      </c>
      <c r="C295" s="26">
        <v>79218.804395604006</v>
      </c>
      <c r="D295" s="15" t="str">
        <f>IFERROR(PayGapsForMalesInRacialEthnicGroupsByOccupationalSeries[[#This Row],[AIAN Male Employees]]/E$318,"")</f>
        <v/>
      </c>
      <c r="E295" s="16" t="s">
        <v>0</v>
      </c>
      <c r="F295" s="17" t="s">
        <v>0</v>
      </c>
      <c r="G295" s="18" t="s">
        <v>0</v>
      </c>
      <c r="H295" s="15">
        <f>IFERROR(PayGapsForMalesInRacialEthnicGroupsByOccupationalSeries[[#This Row],[ANHPI Male Employees]]/I$318,"")</f>
        <v>2.5738856589147285E-3</v>
      </c>
      <c r="I295" s="16">
        <v>170</v>
      </c>
      <c r="J295" s="17">
        <v>78267.615384614997</v>
      </c>
      <c r="K295" s="18">
        <f>PayGapsForMalesInRacialEthnicGroupsByOccupationalSeries[[#This Row],[ANHPI Male Avg Salary]]/PayGapsForMalesInRacialEthnicGroupsByOccupationalSeries[[#This Row],[White Male Average Salary]]</f>
        <v>0.98799288857934608</v>
      </c>
      <c r="L295" s="15">
        <f>IFERROR(PayGapsForMalesInRacialEthnicGroupsByOccupationalSeries[[#This Row],[Black Male Employees]]/M$318,"")</f>
        <v>4.8394192696876379E-3</v>
      </c>
      <c r="M295" s="16">
        <v>605</v>
      </c>
      <c r="N295" s="17">
        <v>79613.578512396998</v>
      </c>
      <c r="O295" s="18">
        <f>IFERROR(PayGapsForMalesInRacialEthnicGroupsByOccupationalSeries[[#This Row],[Black Male Avg Salary]]/PayGapsForMalesInRacialEthnicGroupsByOccupationalSeries[[#This Row],[White Male Average Salary]],"")</f>
        <v>1.0049833384864226</v>
      </c>
      <c r="P295" s="15">
        <f>IFERROR(PayGapsForMalesInRacialEthnicGroupsByOccupationalSeries[[#This Row],[Hispanic Latino Male Employees]]/Q$318,"")</f>
        <v>2.3276379049225982E-3</v>
      </c>
      <c r="Q295" s="16">
        <v>229</v>
      </c>
      <c r="R295" s="17">
        <v>75976.557017543993</v>
      </c>
      <c r="S295" s="18">
        <f>IFERROR(PayGapsForMalesInRacialEthnicGroupsByOccupationalSeries[[#This Row],[Hispanic Latino Male Avg Salary]]/PayGapsForMalesInRacialEthnicGroupsByOccupationalSeries[[#This Row],[White Male Average Salary]],"")</f>
        <v>0.9590722505496444</v>
      </c>
      <c r="T295" s="15">
        <f>IFERROR(PayGapsForMalesInRacialEthnicGroupsByOccupationalSeries[[#This Row],[Other Male Employees]]/U$318,"")</f>
        <v>2.9414800288987512E-3</v>
      </c>
      <c r="U295" s="16">
        <v>57</v>
      </c>
      <c r="V295" s="17">
        <v>76485.035087719007</v>
      </c>
      <c r="W295" s="18">
        <f>IFERROR(PayGapsForMalesInRacialEthnicGroupsByOccupationalSeries[[#This Row],[Other Male Avg Salary]]/PayGapsForMalesInRacialEthnicGroupsByOccupationalSeries[[#This Row],[White Male Average Salary]],"")</f>
        <v>0.96549090422732131</v>
      </c>
    </row>
    <row r="296" spans="1:23" ht="15.6" x14ac:dyDescent="0.3">
      <c r="A296" s="4" t="s">
        <v>304</v>
      </c>
      <c r="B296" s="25">
        <v>1477</v>
      </c>
      <c r="C296" s="26">
        <v>93828.846310088004</v>
      </c>
      <c r="D296" s="15" t="str">
        <f>IFERROR(PayGapsForMalesInRacialEthnicGroupsByOccupationalSeries[[#This Row],[AIAN Male Employees]]/E$318,"")</f>
        <v/>
      </c>
      <c r="E296" s="16" t="s">
        <v>0</v>
      </c>
      <c r="F296" s="17" t="s">
        <v>0</v>
      </c>
      <c r="G296" s="18" t="s">
        <v>0</v>
      </c>
      <c r="H296" s="15">
        <f>IFERROR(PayGapsForMalesInRacialEthnicGroupsByOccupationalSeries[[#This Row],[ANHPI Male Employees]]/I$318,"")</f>
        <v>2.2559350775193799E-3</v>
      </c>
      <c r="I296" s="16">
        <v>149</v>
      </c>
      <c r="J296" s="17">
        <v>84047.610738254996</v>
      </c>
      <c r="K296" s="18">
        <f>PayGapsForMalesInRacialEthnicGroupsByOccupationalSeries[[#This Row],[ANHPI Male Avg Salary]]/PayGapsForMalesInRacialEthnicGroupsByOccupationalSeries[[#This Row],[White Male Average Salary]]</f>
        <v>0.89575449388445294</v>
      </c>
      <c r="L296" s="15">
        <f>IFERROR(PayGapsForMalesInRacialEthnicGroupsByOccupationalSeries[[#This Row],[Black Male Employees]]/M$318,"")</f>
        <v>4.6234451865776105E-3</v>
      </c>
      <c r="M296" s="16">
        <v>578</v>
      </c>
      <c r="N296" s="17">
        <v>92382.032871971998</v>
      </c>
      <c r="O296" s="18">
        <f>IFERROR(PayGapsForMalesInRacialEthnicGroupsByOccupationalSeries[[#This Row],[Black Male Avg Salary]]/PayGapsForMalesInRacialEthnicGroupsByOccupationalSeries[[#This Row],[White Male Average Salary]],"")</f>
        <v>0.98458029172249928</v>
      </c>
      <c r="P296" s="15">
        <f>IFERROR(PayGapsForMalesInRacialEthnicGroupsByOccupationalSeries[[#This Row],[Hispanic Latino Male Employees]]/Q$318,"")</f>
        <v>2.225994328288424E-3</v>
      </c>
      <c r="Q296" s="16">
        <v>219</v>
      </c>
      <c r="R296" s="17">
        <v>90432.136986301004</v>
      </c>
      <c r="S296" s="18">
        <f>IFERROR(PayGapsForMalesInRacialEthnicGroupsByOccupationalSeries[[#This Row],[Hispanic Latino Male Avg Salary]]/PayGapsForMalesInRacialEthnicGroupsByOccupationalSeries[[#This Row],[White Male Average Salary]],"")</f>
        <v>0.96379888001008274</v>
      </c>
      <c r="T296" s="15">
        <f>IFERROR(PayGapsForMalesInRacialEthnicGroupsByOccupationalSeries[[#This Row],[Other Male Employees]]/U$318,"")</f>
        <v>2.7866652905356591E-3</v>
      </c>
      <c r="U296" s="16">
        <v>54</v>
      </c>
      <c r="V296" s="17">
        <v>87675.592592593006</v>
      </c>
      <c r="W296" s="18">
        <f>IFERROR(PayGapsForMalesInRacialEthnicGroupsByOccupationalSeries[[#This Row],[Other Male Avg Salary]]/PayGapsForMalesInRacialEthnicGroupsByOccupationalSeries[[#This Row],[White Male Average Salary]],"")</f>
        <v>0.93442044787421163</v>
      </c>
    </row>
    <row r="297" spans="1:23" ht="15.6" x14ac:dyDescent="0.3">
      <c r="A297" s="4" t="s">
        <v>305</v>
      </c>
      <c r="B297" s="25">
        <v>2437</v>
      </c>
      <c r="C297" s="26">
        <v>50653.460558751001</v>
      </c>
      <c r="D297" s="15">
        <f>IFERROR(PayGapsForMalesInRacialEthnicGroupsByOccupationalSeries[[#This Row],[AIAN Male Employees]]/E$318,"")</f>
        <v>1.1099796334012219E-2</v>
      </c>
      <c r="E297" s="16">
        <v>109</v>
      </c>
      <c r="F297" s="17">
        <v>47307.532110091997</v>
      </c>
      <c r="G297" s="18">
        <f>PayGapsForMalesInRacialEthnicGroupsByOccupationalSeries[[#This Row],[AIAN Male Avg Salary]]/PayGapsForMalesInRacialEthnicGroupsByOccupationalSeries[[#This Row],[White Male Average Salary]]</f>
        <v>0.93394472141191243</v>
      </c>
      <c r="H297" s="15">
        <f>IFERROR(PayGapsForMalesInRacialEthnicGroupsByOccupationalSeries[[#This Row],[ANHPI Male Employees]]/I$318,"")</f>
        <v>5.0569282945736437E-3</v>
      </c>
      <c r="I297" s="16">
        <v>334</v>
      </c>
      <c r="J297" s="17">
        <v>51297.110778442999</v>
      </c>
      <c r="K297" s="18">
        <f>PayGapsForMalesInRacialEthnicGroupsByOccupationalSeries[[#This Row],[ANHPI Male Avg Salary]]/PayGapsForMalesInRacialEthnicGroupsByOccupationalSeries[[#This Row],[White Male Average Salary]]</f>
        <v>1.0127069347798154</v>
      </c>
      <c r="L297" s="15">
        <f>IFERROR(PayGapsForMalesInRacialEthnicGroupsByOccupationalSeries[[#This Row],[Black Male Employees]]/M$318,"")</f>
        <v>1.3318401791784985E-2</v>
      </c>
      <c r="M297" s="16">
        <v>1665</v>
      </c>
      <c r="N297" s="17">
        <v>49232.975932611</v>
      </c>
      <c r="O297" s="18">
        <f>IFERROR(PayGapsForMalesInRacialEthnicGroupsByOccupationalSeries[[#This Row],[Black Male Avg Salary]]/PayGapsForMalesInRacialEthnicGroupsByOccupationalSeries[[#This Row],[White Male Average Salary]],"")</f>
        <v>0.97195680985127486</v>
      </c>
      <c r="P297" s="15">
        <f>IFERROR(PayGapsForMalesInRacialEthnicGroupsByOccupationalSeries[[#This Row],[Hispanic Latino Male Employees]]/Q$318,"")</f>
        <v>6.0376284520699715E-3</v>
      </c>
      <c r="Q297" s="16">
        <v>594</v>
      </c>
      <c r="R297" s="17">
        <v>49649.893760539999</v>
      </c>
      <c r="S297" s="18">
        <f>IFERROR(PayGapsForMalesInRacialEthnicGroupsByOccupationalSeries[[#This Row],[Hispanic Latino Male Avg Salary]]/PayGapsForMalesInRacialEthnicGroupsByOccupationalSeries[[#This Row],[White Male Average Salary]],"")</f>
        <v>0.98018759652073517</v>
      </c>
      <c r="T297" s="15">
        <f>IFERROR(PayGapsForMalesInRacialEthnicGroupsByOccupationalSeries[[#This Row],[Other Male Employees]]/U$318,"")</f>
        <v>6.1925895345236867E-3</v>
      </c>
      <c r="U297" s="16">
        <v>120</v>
      </c>
      <c r="V297" s="17">
        <v>50129.848739496003</v>
      </c>
      <c r="W297" s="18">
        <f>IFERROR(PayGapsForMalesInRacialEthnicGroupsByOccupationalSeries[[#This Row],[Other Male Avg Salary]]/PayGapsForMalesInRacialEthnicGroupsByOccupationalSeries[[#This Row],[White Male Average Salary]],"")</f>
        <v>0.98966286185624608</v>
      </c>
    </row>
    <row r="298" spans="1:23" ht="15.6" x14ac:dyDescent="0.3">
      <c r="A298" s="4" t="s">
        <v>306</v>
      </c>
      <c r="B298" s="25">
        <v>2163</v>
      </c>
      <c r="C298" s="26">
        <v>74452.637372803001</v>
      </c>
      <c r="D298" s="15">
        <f>IFERROR(PayGapsForMalesInRacialEthnicGroupsByOccupationalSeries[[#This Row],[AIAN Male Employees]]/E$318,"")</f>
        <v>6.0081466395112016E-3</v>
      </c>
      <c r="E298" s="16">
        <v>59</v>
      </c>
      <c r="F298" s="17">
        <v>69089.203389831004</v>
      </c>
      <c r="G298" s="18">
        <f>PayGapsForMalesInRacialEthnicGroupsByOccupationalSeries[[#This Row],[AIAN Male Avg Salary]]/PayGapsForMalesInRacialEthnicGroupsByOccupationalSeries[[#This Row],[White Male Average Salary]]</f>
        <v>0.92796179998143058</v>
      </c>
      <c r="H298" s="15">
        <f>IFERROR(PayGapsForMalesInRacialEthnicGroupsByOccupationalSeries[[#This Row],[ANHPI Male Employees]]/I$318,"")</f>
        <v>3.2400678294573645E-3</v>
      </c>
      <c r="I298" s="16">
        <v>214</v>
      </c>
      <c r="J298" s="17">
        <v>74524.192488262997</v>
      </c>
      <c r="K298" s="18">
        <f>PayGapsForMalesInRacialEthnicGroupsByOccupationalSeries[[#This Row],[ANHPI Male Avg Salary]]/PayGapsForMalesInRacialEthnicGroupsByOccupationalSeries[[#This Row],[White Male Average Salary]]</f>
        <v>1.0009610823469113</v>
      </c>
      <c r="L298" s="15">
        <f>IFERROR(PayGapsForMalesInRacialEthnicGroupsByOccupationalSeries[[#This Row],[Black Male Employees]]/M$318,"")</f>
        <v>9.4628644562652475E-3</v>
      </c>
      <c r="M298" s="16">
        <v>1183</v>
      </c>
      <c r="N298" s="17">
        <v>73681.128595600996</v>
      </c>
      <c r="O298" s="18">
        <f>IFERROR(PayGapsForMalesInRacialEthnicGroupsByOccupationalSeries[[#This Row],[Black Male Avg Salary]]/PayGapsForMalesInRacialEthnicGroupsByOccupationalSeries[[#This Row],[White Male Average Salary]],"")</f>
        <v>0.98963758968888005</v>
      </c>
      <c r="P298" s="15">
        <f>IFERROR(PayGapsForMalesInRacialEthnicGroupsByOccupationalSeries[[#This Row],[Hispanic Latino Male Employees]]/Q$318,"")</f>
        <v>3.7811410507912952E-3</v>
      </c>
      <c r="Q298" s="16">
        <v>372</v>
      </c>
      <c r="R298" s="17">
        <v>74855.690860215007</v>
      </c>
      <c r="S298" s="18">
        <f>IFERROR(PayGapsForMalesInRacialEthnicGroupsByOccupationalSeries[[#This Row],[Hispanic Latino Male Avg Salary]]/PayGapsForMalesInRacialEthnicGroupsByOccupationalSeries[[#This Row],[White Male Average Salary]],"")</f>
        <v>1.0054135555385877</v>
      </c>
      <c r="T298" s="15">
        <f>IFERROR(PayGapsForMalesInRacialEthnicGroupsByOccupationalSeries[[#This Row],[Other Male Employees]]/U$318,"")</f>
        <v>4.5928372381050676E-3</v>
      </c>
      <c r="U298" s="16">
        <v>89</v>
      </c>
      <c r="V298" s="17">
        <v>73105.561797753006</v>
      </c>
      <c r="W298" s="18">
        <f>IFERROR(PayGapsForMalesInRacialEthnicGroupsByOccupationalSeries[[#This Row],[Other Male Avg Salary]]/PayGapsForMalesInRacialEthnicGroupsByOccupationalSeries[[#This Row],[White Male Average Salary]],"")</f>
        <v>0.9819069461796921</v>
      </c>
    </row>
    <row r="299" spans="1:23" ht="31.2" x14ac:dyDescent="0.3">
      <c r="A299" s="4" t="s">
        <v>307</v>
      </c>
      <c r="B299" s="25">
        <v>312</v>
      </c>
      <c r="C299" s="26">
        <v>86544.137820513002</v>
      </c>
      <c r="D299" s="15" t="str">
        <f>IFERROR(PayGapsForMalesInRacialEthnicGroupsByOccupationalSeries[[#This Row],[AIAN Male Employees]]/E$318,"")</f>
        <v/>
      </c>
      <c r="E299" s="16" t="s">
        <v>0</v>
      </c>
      <c r="F299" s="17" t="s">
        <v>0</v>
      </c>
      <c r="G299" s="18" t="s">
        <v>0</v>
      </c>
      <c r="H299" s="15" t="str">
        <f>IFERROR(PayGapsForMalesInRacialEthnicGroupsByOccupationalSeries[[#This Row],[ANHPI Male Employees]]/I$318,"")</f>
        <v/>
      </c>
      <c r="I299" s="16" t="s">
        <v>0</v>
      </c>
      <c r="J299" s="17" t="s">
        <v>0</v>
      </c>
      <c r="K299" s="18" t="s">
        <v>0</v>
      </c>
      <c r="L299" s="15">
        <f>IFERROR(PayGapsForMalesInRacialEthnicGroupsByOccupationalSeries[[#This Row],[Black Male Employees]]/M$318,"")</f>
        <v>9.4388673359196897E-4</v>
      </c>
      <c r="M299" s="16">
        <v>118</v>
      </c>
      <c r="N299" s="17">
        <v>88935.677966101997</v>
      </c>
      <c r="O299" s="18">
        <f>IFERROR(PayGapsForMalesInRacialEthnicGroupsByOccupationalSeries[[#This Row],[Black Male Avg Salary]]/PayGapsForMalesInRacialEthnicGroupsByOccupationalSeries[[#This Row],[White Male Average Salary]],"")</f>
        <v>1.0276337624455731</v>
      </c>
      <c r="P299" s="15" t="str">
        <f>IFERROR(PayGapsForMalesInRacialEthnicGroupsByOccupationalSeries[[#This Row],[Hispanic Latino Male Employees]]/Q$318,"")</f>
        <v/>
      </c>
      <c r="Q299" s="16" t="s">
        <v>0</v>
      </c>
      <c r="R299" s="17" t="s">
        <v>0</v>
      </c>
      <c r="S299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299" s="15" t="str">
        <f>IFERROR(PayGapsForMalesInRacialEthnicGroupsByOccupationalSeries[[#This Row],[Other Male Employees]]/U$318,"")</f>
        <v/>
      </c>
      <c r="U299" s="16" t="s">
        <v>0</v>
      </c>
      <c r="V299" s="17" t="s">
        <v>0</v>
      </c>
      <c r="W29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00" spans="1:23" ht="15.6" x14ac:dyDescent="0.3">
      <c r="A300" s="4" t="s">
        <v>308</v>
      </c>
      <c r="B300" s="25">
        <v>78</v>
      </c>
      <c r="C300" s="26">
        <v>92314.512820513002</v>
      </c>
      <c r="D300" s="15" t="str">
        <f>IFERROR(PayGapsForMalesInRacialEthnicGroupsByOccupationalSeries[[#This Row],[AIAN Male Employees]]/E$318,"")</f>
        <v/>
      </c>
      <c r="E300" s="16" t="s">
        <v>0</v>
      </c>
      <c r="F300" s="17" t="s">
        <v>0</v>
      </c>
      <c r="G300" s="18" t="s">
        <v>0</v>
      </c>
      <c r="H300" s="15" t="str">
        <f>IFERROR(PayGapsForMalesInRacialEthnicGroupsByOccupationalSeries[[#This Row],[ANHPI Male Employees]]/I$318,"")</f>
        <v/>
      </c>
      <c r="I300" s="16" t="s">
        <v>0</v>
      </c>
      <c r="J300" s="17" t="s">
        <v>0</v>
      </c>
      <c r="K300" s="18" t="s">
        <v>0</v>
      </c>
      <c r="L300" s="15" t="str">
        <f>IFERROR(PayGapsForMalesInRacialEthnicGroupsByOccupationalSeries[[#This Row],[Black Male Employees]]/M$318,"")</f>
        <v/>
      </c>
      <c r="M300" s="16" t="s">
        <v>0</v>
      </c>
      <c r="N300" s="17" t="s">
        <v>0</v>
      </c>
      <c r="O300" s="18" t="str">
        <f>IFERROR(PayGapsForMalesInRacialEthnicGroupsByOccupationalSeries[[#This Row],[Black Male Avg Salary]]/PayGapsForMalesInRacialEthnicGroupsByOccupationalSeries[[#This Row],[White Male Average Salary]],"")</f>
        <v/>
      </c>
      <c r="P300" s="15" t="str">
        <f>IFERROR(PayGapsForMalesInRacialEthnicGroupsByOccupationalSeries[[#This Row],[Hispanic Latino Male Employees]]/Q$318,"")</f>
        <v/>
      </c>
      <c r="Q300" s="16" t="s">
        <v>0</v>
      </c>
      <c r="R300" s="17" t="s">
        <v>0</v>
      </c>
      <c r="S300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00" s="15" t="str">
        <f>IFERROR(PayGapsForMalesInRacialEthnicGroupsByOccupationalSeries[[#This Row],[Other Male Employees]]/U$318,"")</f>
        <v/>
      </c>
      <c r="U300" s="16" t="s">
        <v>0</v>
      </c>
      <c r="V300" s="17" t="s">
        <v>0</v>
      </c>
      <c r="W30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01" spans="1:23" ht="15.6" x14ac:dyDescent="0.3">
      <c r="A301" s="4" t="s">
        <v>309</v>
      </c>
      <c r="B301" s="25">
        <v>42</v>
      </c>
      <c r="C301" s="26">
        <v>37495.5</v>
      </c>
      <c r="D301" s="15" t="str">
        <f>IFERROR(PayGapsForMalesInRacialEthnicGroupsByOccupationalSeries[[#This Row],[AIAN Male Employees]]/E$318,"")</f>
        <v/>
      </c>
      <c r="E301" s="16" t="s">
        <v>0</v>
      </c>
      <c r="F301" s="17" t="s">
        <v>0</v>
      </c>
      <c r="G301" s="18" t="s">
        <v>0</v>
      </c>
      <c r="H301" s="15">
        <f>IFERROR(PayGapsForMalesInRacialEthnicGroupsByOccupationalSeries[[#This Row],[ANHPI Male Employees]]/I$318,"")</f>
        <v>2.8766957364341088E-4</v>
      </c>
      <c r="I301" s="16">
        <v>19</v>
      </c>
      <c r="J301" s="17">
        <v>34993.157894737</v>
      </c>
      <c r="K301" s="18">
        <f>PayGapsForMalesInRacialEthnicGroupsByOccupationalSeries[[#This Row],[ANHPI Male Avg Salary]]/PayGapsForMalesInRacialEthnicGroupsByOccupationalSeries[[#This Row],[White Male Average Salary]]</f>
        <v>0.93326286873723519</v>
      </c>
      <c r="L301" s="15" t="str">
        <f>IFERROR(PayGapsForMalesInRacialEthnicGroupsByOccupationalSeries[[#This Row],[Black Male Employees]]/M$318,"")</f>
        <v/>
      </c>
      <c r="M301" s="16" t="s">
        <v>0</v>
      </c>
      <c r="N301" s="17" t="s">
        <v>0</v>
      </c>
      <c r="O301" s="18" t="str">
        <f>IFERROR(PayGapsForMalesInRacialEthnicGroupsByOccupationalSeries[[#This Row],[Black Male Avg Salary]]/PayGapsForMalesInRacialEthnicGroupsByOccupationalSeries[[#This Row],[White Male Average Salary]],"")</f>
        <v/>
      </c>
      <c r="P301" s="15" t="str">
        <f>IFERROR(PayGapsForMalesInRacialEthnicGroupsByOccupationalSeries[[#This Row],[Hispanic Latino Male Employees]]/Q$318,"")</f>
        <v/>
      </c>
      <c r="Q301" s="16" t="s">
        <v>0</v>
      </c>
      <c r="R301" s="17" t="s">
        <v>0</v>
      </c>
      <c r="S301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01" s="15" t="str">
        <f>IFERROR(PayGapsForMalesInRacialEthnicGroupsByOccupationalSeries[[#This Row],[Other Male Employees]]/U$318,"")</f>
        <v/>
      </c>
      <c r="U301" s="16" t="s">
        <v>0</v>
      </c>
      <c r="V301" s="17" t="s">
        <v>0</v>
      </c>
      <c r="W301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02" spans="1:23" ht="15.6" x14ac:dyDescent="0.3">
      <c r="A302" s="4" t="s">
        <v>310</v>
      </c>
      <c r="B302" s="25">
        <v>4940</v>
      </c>
      <c r="C302" s="26">
        <v>107363.765742053</v>
      </c>
      <c r="D302" s="15" t="str">
        <f>IFERROR(PayGapsForMalesInRacialEthnicGroupsByOccupationalSeries[[#This Row],[AIAN Male Employees]]/E$318,"")</f>
        <v/>
      </c>
      <c r="E302" s="16" t="s">
        <v>0</v>
      </c>
      <c r="F302" s="17" t="s">
        <v>0</v>
      </c>
      <c r="G302" s="18" t="s">
        <v>0</v>
      </c>
      <c r="H302" s="15">
        <f>IFERROR(PayGapsForMalesInRacialEthnicGroupsByOccupationalSeries[[#This Row],[ANHPI Male Employees]]/I$318,"")</f>
        <v>5.0872093023255818E-3</v>
      </c>
      <c r="I302" s="16">
        <v>336</v>
      </c>
      <c r="J302" s="17">
        <v>111585.357142857</v>
      </c>
      <c r="K302" s="18">
        <f>PayGapsForMalesInRacialEthnicGroupsByOccupationalSeries[[#This Row],[ANHPI Male Avg Salary]]/PayGapsForMalesInRacialEthnicGroupsByOccupationalSeries[[#This Row],[White Male Average Salary]]</f>
        <v>1.039320448306057</v>
      </c>
      <c r="L302" s="15">
        <f>IFERROR(PayGapsForMalesInRacialEthnicGroupsByOccupationalSeries[[#This Row],[Black Male Employees]]/M$318,"")</f>
        <v>5.3913530376354839E-3</v>
      </c>
      <c r="M302" s="16">
        <v>674</v>
      </c>
      <c r="N302" s="17">
        <v>105777.535608309</v>
      </c>
      <c r="O302" s="18">
        <f>IFERROR(PayGapsForMalesInRacialEthnicGroupsByOccupationalSeries[[#This Row],[Black Male Avg Salary]]/PayGapsForMalesInRacialEthnicGroupsByOccupationalSeries[[#This Row],[White Male Average Salary]],"")</f>
        <v>0.98522564737944274</v>
      </c>
      <c r="P302" s="15">
        <f>IFERROR(PayGapsForMalesInRacialEthnicGroupsByOccupationalSeries[[#This Row],[Hispanic Latino Male Employees]]/Q$318,"")</f>
        <v>7.8367197584948613E-3</v>
      </c>
      <c r="Q302" s="16">
        <v>771</v>
      </c>
      <c r="R302" s="17">
        <v>104615.047989624</v>
      </c>
      <c r="S302" s="18">
        <f>IFERROR(PayGapsForMalesInRacialEthnicGroupsByOccupationalSeries[[#This Row],[Hispanic Latino Male Avg Salary]]/PayGapsForMalesInRacialEthnicGroupsByOccupationalSeries[[#This Row],[White Male Average Salary]],"")</f>
        <v>0.97439808734882738</v>
      </c>
      <c r="T302" s="15">
        <f>IFERROR(PayGapsForMalesInRacialEthnicGroupsByOccupationalSeries[[#This Row],[Other Male Employees]]/U$318,"")</f>
        <v>9.134069563422437E-3</v>
      </c>
      <c r="U302" s="16">
        <v>177</v>
      </c>
      <c r="V302" s="17">
        <v>102344.98870056499</v>
      </c>
      <c r="W302" s="18">
        <f>IFERROR(PayGapsForMalesInRacialEthnicGroupsByOccupationalSeries[[#This Row],[Other Male Avg Salary]]/PayGapsForMalesInRacialEthnicGroupsByOccupationalSeries[[#This Row],[White Male Average Salary]],"")</f>
        <v>0.95325446153271232</v>
      </c>
    </row>
    <row r="303" spans="1:23" ht="31.2" x14ac:dyDescent="0.3">
      <c r="A303" s="4" t="s">
        <v>311</v>
      </c>
      <c r="B303" s="25">
        <v>749</v>
      </c>
      <c r="C303" s="26">
        <v>51645.627844711998</v>
      </c>
      <c r="D303" s="15" t="str">
        <f>IFERROR(PayGapsForMalesInRacialEthnicGroupsByOccupationalSeries[[#This Row],[AIAN Male Employees]]/E$318,"")</f>
        <v/>
      </c>
      <c r="E303" s="16" t="s">
        <v>0</v>
      </c>
      <c r="F303" s="17" t="s">
        <v>0</v>
      </c>
      <c r="G303" s="18" t="s">
        <v>0</v>
      </c>
      <c r="H303" s="15">
        <f>IFERROR(PayGapsForMalesInRacialEthnicGroupsByOccupationalSeries[[#This Row],[ANHPI Male Employees]]/I$318,"")</f>
        <v>1.4232073643410852E-3</v>
      </c>
      <c r="I303" s="16">
        <v>94</v>
      </c>
      <c r="J303" s="17">
        <v>52427.287234042997</v>
      </c>
      <c r="K303" s="18">
        <f>PayGapsForMalesInRacialEthnicGroupsByOccupationalSeries[[#This Row],[ANHPI Male Avg Salary]]/PayGapsForMalesInRacialEthnicGroupsByOccupationalSeries[[#This Row],[White Male Average Salary]]</f>
        <v>1.0151350544460664</v>
      </c>
      <c r="L303" s="15">
        <f>IFERROR(PayGapsForMalesInRacialEthnicGroupsByOccupationalSeries[[#This Row],[Black Male Employees]]/M$318,"")</f>
        <v>3.2396112466504018E-3</v>
      </c>
      <c r="M303" s="16">
        <v>405</v>
      </c>
      <c r="N303" s="17">
        <v>50924.022222222004</v>
      </c>
      <c r="O303" s="18">
        <f>IFERROR(PayGapsForMalesInRacialEthnicGroupsByOccupationalSeries[[#This Row],[Black Male Avg Salary]]/PayGapsForMalesInRacialEthnicGroupsByOccupationalSeries[[#This Row],[White Male Average Salary]],"")</f>
        <v>0.9860277500225243</v>
      </c>
      <c r="P303" s="15">
        <f>IFERROR(PayGapsForMalesInRacialEthnicGroupsByOccupationalSeries[[#This Row],[Hispanic Latino Male Employees]]/Q$318,"")</f>
        <v>1.7685982334346381E-3</v>
      </c>
      <c r="Q303" s="16">
        <v>174</v>
      </c>
      <c r="R303" s="17">
        <v>52051.729885057001</v>
      </c>
      <c r="S303" s="18">
        <f>IFERROR(PayGapsForMalesInRacialEthnicGroupsByOccupationalSeries[[#This Row],[Hispanic Latino Male Avg Salary]]/PayGapsForMalesInRacialEthnicGroupsByOccupationalSeries[[#This Row],[White Male Average Salary]],"")</f>
        <v>1.0078632414260906</v>
      </c>
      <c r="T303" s="15" t="str">
        <f>IFERROR(PayGapsForMalesInRacialEthnicGroupsByOccupationalSeries[[#This Row],[Other Male Employees]]/U$318,"")</f>
        <v/>
      </c>
      <c r="U303" s="16" t="s">
        <v>0</v>
      </c>
      <c r="V303" s="17" t="s">
        <v>0</v>
      </c>
      <c r="W30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04" spans="1:23" ht="15.6" x14ac:dyDescent="0.3">
      <c r="A304" s="4" t="s">
        <v>312</v>
      </c>
      <c r="B304" s="25">
        <v>382</v>
      </c>
      <c r="C304" s="26">
        <v>105576.87172774901</v>
      </c>
      <c r="D304" s="15" t="str">
        <f>IFERROR(PayGapsForMalesInRacialEthnicGroupsByOccupationalSeries[[#This Row],[AIAN Male Employees]]/E$318,"")</f>
        <v/>
      </c>
      <c r="E304" s="16" t="s">
        <v>0</v>
      </c>
      <c r="F304" s="17" t="s">
        <v>0</v>
      </c>
      <c r="G304" s="18" t="s">
        <v>0</v>
      </c>
      <c r="H304" s="15" t="str">
        <f>IFERROR(PayGapsForMalesInRacialEthnicGroupsByOccupationalSeries[[#This Row],[ANHPI Male Employees]]/I$318,"")</f>
        <v/>
      </c>
      <c r="I304" s="16" t="s">
        <v>0</v>
      </c>
      <c r="J304" s="17" t="s">
        <v>0</v>
      </c>
      <c r="K304" s="18" t="s">
        <v>0</v>
      </c>
      <c r="L304" s="15" t="str">
        <f>IFERROR(PayGapsForMalesInRacialEthnicGroupsByOccupationalSeries[[#This Row],[Black Male Employees]]/M$318,"")</f>
        <v/>
      </c>
      <c r="M304" s="16" t="s">
        <v>0</v>
      </c>
      <c r="N304" s="17" t="s">
        <v>0</v>
      </c>
      <c r="O304" s="18" t="str">
        <f>IFERROR(PayGapsForMalesInRacialEthnicGroupsByOccupationalSeries[[#This Row],[Black Male Avg Salary]]/PayGapsForMalesInRacialEthnicGroupsByOccupationalSeries[[#This Row],[White Male Average Salary]],"")</f>
        <v/>
      </c>
      <c r="P304" s="15" t="str">
        <f>IFERROR(PayGapsForMalesInRacialEthnicGroupsByOccupationalSeries[[#This Row],[Hispanic Latino Male Employees]]/Q$318,"")</f>
        <v/>
      </c>
      <c r="Q304" s="16" t="s">
        <v>0</v>
      </c>
      <c r="R304" s="17" t="s">
        <v>0</v>
      </c>
      <c r="S30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04" s="15" t="str">
        <f>IFERROR(PayGapsForMalesInRacialEthnicGroupsByOccupationalSeries[[#This Row],[Other Male Employees]]/U$318,"")</f>
        <v/>
      </c>
      <c r="U304" s="16" t="s">
        <v>0</v>
      </c>
      <c r="V304" s="17" t="s">
        <v>0</v>
      </c>
      <c r="W30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05" spans="1:23" ht="15.6" x14ac:dyDescent="0.3">
      <c r="A305" s="4" t="s">
        <v>313</v>
      </c>
      <c r="B305" s="25">
        <v>161</v>
      </c>
      <c r="C305" s="26">
        <v>85281.378881987999</v>
      </c>
      <c r="D305" s="15" t="str">
        <f>IFERROR(PayGapsForMalesInRacialEthnicGroupsByOccupationalSeries[[#This Row],[AIAN Male Employees]]/E$318,"")</f>
        <v/>
      </c>
      <c r="E305" s="16" t="s">
        <v>0</v>
      </c>
      <c r="F305" s="17" t="s">
        <v>0</v>
      </c>
      <c r="G305" s="18" t="s">
        <v>0</v>
      </c>
      <c r="H305" s="15" t="str">
        <f>IFERROR(PayGapsForMalesInRacialEthnicGroupsByOccupationalSeries[[#This Row],[ANHPI Male Employees]]/I$318,"")</f>
        <v/>
      </c>
      <c r="I305" s="16" t="s">
        <v>0</v>
      </c>
      <c r="J305" s="17" t="s">
        <v>0</v>
      </c>
      <c r="K305" s="18" t="s">
        <v>0</v>
      </c>
      <c r="L305" s="15" t="str">
        <f>IFERROR(PayGapsForMalesInRacialEthnicGroupsByOccupationalSeries[[#This Row],[Black Male Employees]]/M$318,"")</f>
        <v/>
      </c>
      <c r="M305" s="16" t="s">
        <v>0</v>
      </c>
      <c r="N305" s="17" t="s">
        <v>0</v>
      </c>
      <c r="O305" s="18" t="str">
        <f>IFERROR(PayGapsForMalesInRacialEthnicGroupsByOccupationalSeries[[#This Row],[Black Male Avg Salary]]/PayGapsForMalesInRacialEthnicGroupsByOccupationalSeries[[#This Row],[White Male Average Salary]],"")</f>
        <v/>
      </c>
      <c r="P305" s="15">
        <f>IFERROR(PayGapsForMalesInRacialEthnicGroupsByOccupationalSeries[[#This Row],[Hispanic Latino Male Employees]]/Q$318,"")</f>
        <v>1.6669546568004634E-3</v>
      </c>
      <c r="Q305" s="16">
        <v>164</v>
      </c>
      <c r="R305" s="17">
        <v>82024.469512195006</v>
      </c>
      <c r="S305" s="18">
        <f>IFERROR(PayGapsForMalesInRacialEthnicGroupsByOccupationalSeries[[#This Row],[Hispanic Latino Male Avg Salary]]/PayGapsForMalesInRacialEthnicGroupsByOccupationalSeries[[#This Row],[White Male Average Salary]],"")</f>
        <v>0.96180984157983784</v>
      </c>
      <c r="T305" s="15" t="str">
        <f>IFERROR(PayGapsForMalesInRacialEthnicGroupsByOccupationalSeries[[#This Row],[Other Male Employees]]/U$318,"")</f>
        <v/>
      </c>
      <c r="U305" s="16" t="s">
        <v>0</v>
      </c>
      <c r="V305" s="17" t="s">
        <v>0</v>
      </c>
      <c r="W30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06" spans="1:23" ht="15.6" x14ac:dyDescent="0.3">
      <c r="A306" s="4" t="s">
        <v>314</v>
      </c>
      <c r="B306" s="25">
        <v>108</v>
      </c>
      <c r="C306" s="26">
        <v>120481.81481481501</v>
      </c>
      <c r="D306" s="15" t="str">
        <f>IFERROR(PayGapsForMalesInRacialEthnicGroupsByOccupationalSeries[[#This Row],[AIAN Male Employees]]/E$318,"")</f>
        <v/>
      </c>
      <c r="E306" s="16" t="s">
        <v>0</v>
      </c>
      <c r="F306" s="17" t="s">
        <v>0</v>
      </c>
      <c r="G306" s="18" t="s">
        <v>0</v>
      </c>
      <c r="H306" s="15" t="str">
        <f>IFERROR(PayGapsForMalesInRacialEthnicGroupsByOccupationalSeries[[#This Row],[ANHPI Male Employees]]/I$318,"")</f>
        <v/>
      </c>
      <c r="I306" s="16" t="s">
        <v>0</v>
      </c>
      <c r="J306" s="17" t="s">
        <v>0</v>
      </c>
      <c r="K306" s="18" t="s">
        <v>0</v>
      </c>
      <c r="L306" s="15" t="str">
        <f>IFERROR(PayGapsForMalesInRacialEthnicGroupsByOccupationalSeries[[#This Row],[Black Male Employees]]/M$318,"")</f>
        <v/>
      </c>
      <c r="M306" s="16" t="s">
        <v>0</v>
      </c>
      <c r="N306" s="17" t="s">
        <v>0</v>
      </c>
      <c r="O306" s="18" t="str">
        <f>IFERROR(PayGapsForMalesInRacialEthnicGroupsByOccupationalSeries[[#This Row],[Black Male Avg Salary]]/PayGapsForMalesInRacialEthnicGroupsByOccupationalSeries[[#This Row],[White Male Average Salary]],"")</f>
        <v/>
      </c>
      <c r="P306" s="15" t="str">
        <f>IFERROR(PayGapsForMalesInRacialEthnicGroupsByOccupationalSeries[[#This Row],[Hispanic Latino Male Employees]]/Q$318,"")</f>
        <v/>
      </c>
      <c r="Q306" s="16" t="s">
        <v>0</v>
      </c>
      <c r="R306" s="17" t="s">
        <v>0</v>
      </c>
      <c r="S306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06" s="15" t="str">
        <f>IFERROR(PayGapsForMalesInRacialEthnicGroupsByOccupationalSeries[[#This Row],[Other Male Employees]]/U$318,"")</f>
        <v/>
      </c>
      <c r="U306" s="16" t="s">
        <v>0</v>
      </c>
      <c r="V306" s="17" t="s">
        <v>0</v>
      </c>
      <c r="W306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07" spans="1:23" ht="15.6" x14ac:dyDescent="0.3">
      <c r="A307" s="4" t="s">
        <v>315</v>
      </c>
      <c r="B307" s="25">
        <v>633</v>
      </c>
      <c r="C307" s="26">
        <v>88459.293838862999</v>
      </c>
      <c r="D307" s="15" t="str">
        <f>IFERROR(PayGapsForMalesInRacialEthnicGroupsByOccupationalSeries[[#This Row],[AIAN Male Employees]]/E$318,"")</f>
        <v/>
      </c>
      <c r="E307" s="16" t="s">
        <v>0</v>
      </c>
      <c r="F307" s="17" t="s">
        <v>0</v>
      </c>
      <c r="G307" s="18" t="s">
        <v>0</v>
      </c>
      <c r="H307" s="15" t="str">
        <f>IFERROR(PayGapsForMalesInRacialEthnicGroupsByOccupationalSeries[[#This Row],[ANHPI Male Employees]]/I$318,"")</f>
        <v/>
      </c>
      <c r="I307" s="16" t="s">
        <v>0</v>
      </c>
      <c r="J307" s="17" t="s">
        <v>0</v>
      </c>
      <c r="K307" s="18" t="s">
        <v>0</v>
      </c>
      <c r="L307" s="15">
        <f>IFERROR(PayGapsForMalesInRacialEthnicGroupsByOccupationalSeries[[#This Row],[Black Male Employees]]/M$318,"")</f>
        <v>2.1677398712154541E-3</v>
      </c>
      <c r="M307" s="16">
        <v>271</v>
      </c>
      <c r="N307" s="17">
        <v>88397.782287823007</v>
      </c>
      <c r="O307" s="18">
        <f>IFERROR(PayGapsForMalesInRacialEthnicGroupsByOccupationalSeries[[#This Row],[Black Male Avg Salary]]/PayGapsForMalesInRacialEthnicGroupsByOccupationalSeries[[#This Row],[White Male Average Salary]],"")</f>
        <v>0.99930463438751793</v>
      </c>
      <c r="P307" s="15">
        <f>IFERROR(PayGapsForMalesInRacialEthnicGroupsByOccupationalSeries[[#This Row],[Hispanic Latino Male Employees]]/Q$318,"")</f>
        <v>9.8594269335149369E-4</v>
      </c>
      <c r="Q307" s="16">
        <v>97</v>
      </c>
      <c r="R307" s="17">
        <v>83758.835051546004</v>
      </c>
      <c r="S307" s="18">
        <f>IFERROR(PayGapsForMalesInRacialEthnicGroupsByOccupationalSeries[[#This Row],[Hispanic Latino Male Avg Salary]]/PayGapsForMalesInRacialEthnicGroupsByOccupationalSeries[[#This Row],[White Male Average Salary]],"")</f>
        <v>0.94686303062876209</v>
      </c>
      <c r="T307" s="15" t="str">
        <f>IFERROR(PayGapsForMalesInRacialEthnicGroupsByOccupationalSeries[[#This Row],[Other Male Employees]]/U$318,"")</f>
        <v/>
      </c>
      <c r="U307" s="16" t="s">
        <v>0</v>
      </c>
      <c r="V307" s="17" t="s">
        <v>0</v>
      </c>
      <c r="W307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08" spans="1:23" ht="15.6" x14ac:dyDescent="0.3">
      <c r="A308" s="4" t="s">
        <v>316</v>
      </c>
      <c r="B308" s="25">
        <v>63</v>
      </c>
      <c r="C308" s="26">
        <v>59675.015873015996</v>
      </c>
      <c r="D308" s="15" t="str">
        <f>IFERROR(PayGapsForMalesInRacialEthnicGroupsByOccupationalSeries[[#This Row],[AIAN Male Employees]]/E$318,"")</f>
        <v/>
      </c>
      <c r="E308" s="16" t="s">
        <v>0</v>
      </c>
      <c r="F308" s="17" t="s">
        <v>0</v>
      </c>
      <c r="G308" s="18" t="s">
        <v>0</v>
      </c>
      <c r="H308" s="15" t="str">
        <f>IFERROR(PayGapsForMalesInRacialEthnicGroupsByOccupationalSeries[[#This Row],[ANHPI Male Employees]]/I$318,"")</f>
        <v/>
      </c>
      <c r="I308" s="16" t="s">
        <v>0</v>
      </c>
      <c r="J308" s="17" t="s">
        <v>0</v>
      </c>
      <c r="K308" s="18" t="s">
        <v>0</v>
      </c>
      <c r="L308" s="15" t="str">
        <f>IFERROR(PayGapsForMalesInRacialEthnicGroupsByOccupationalSeries[[#This Row],[Black Male Employees]]/M$318,"")</f>
        <v/>
      </c>
      <c r="M308" s="16" t="s">
        <v>0</v>
      </c>
      <c r="N308" s="17" t="s">
        <v>0</v>
      </c>
      <c r="O308" s="18" t="str">
        <f>IFERROR(PayGapsForMalesInRacialEthnicGroupsByOccupationalSeries[[#This Row],[Black Male Avg Salary]]/PayGapsForMalesInRacialEthnicGroupsByOccupationalSeries[[#This Row],[White Male Average Salary]],"")</f>
        <v/>
      </c>
      <c r="P308" s="15" t="str">
        <f>IFERROR(PayGapsForMalesInRacialEthnicGroupsByOccupationalSeries[[#This Row],[Hispanic Latino Male Employees]]/Q$318,"")</f>
        <v/>
      </c>
      <c r="Q308" s="16" t="s">
        <v>0</v>
      </c>
      <c r="R308" s="17" t="s">
        <v>0</v>
      </c>
      <c r="S308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08" s="15" t="str">
        <f>IFERROR(PayGapsForMalesInRacialEthnicGroupsByOccupationalSeries[[#This Row],[Other Male Employees]]/U$318,"")</f>
        <v/>
      </c>
      <c r="U308" s="16" t="s">
        <v>0</v>
      </c>
      <c r="V308" s="17" t="s">
        <v>0</v>
      </c>
      <c r="W308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09" spans="1:23" ht="15.6" x14ac:dyDescent="0.3">
      <c r="A309" s="4" t="s">
        <v>317</v>
      </c>
      <c r="B309" s="25">
        <v>1200</v>
      </c>
      <c r="C309" s="26">
        <v>91189.128547579006</v>
      </c>
      <c r="D309" s="15" t="str">
        <f>IFERROR(PayGapsForMalesInRacialEthnicGroupsByOccupationalSeries[[#This Row],[AIAN Male Employees]]/E$318,"")</f>
        <v/>
      </c>
      <c r="E309" s="16" t="s">
        <v>0</v>
      </c>
      <c r="F309" s="17" t="s">
        <v>0</v>
      </c>
      <c r="G309" s="18" t="s">
        <v>0</v>
      </c>
      <c r="H309" s="15" t="str">
        <f>IFERROR(PayGapsForMalesInRacialEthnicGroupsByOccupationalSeries[[#This Row],[ANHPI Male Employees]]/I$318,"")</f>
        <v/>
      </c>
      <c r="I309" s="16" t="s">
        <v>0</v>
      </c>
      <c r="J309" s="17" t="s">
        <v>0</v>
      </c>
      <c r="K309" s="18" t="s">
        <v>0</v>
      </c>
      <c r="L309" s="15">
        <f>IFERROR(PayGapsForMalesInRacialEthnicGroupsByOccupationalSeries[[#This Row],[Black Male Employees]]/M$318,"")</f>
        <v>1.7837859456865176E-3</v>
      </c>
      <c r="M309" s="16">
        <v>223</v>
      </c>
      <c r="N309" s="17">
        <v>87734.65470852</v>
      </c>
      <c r="O309" s="18">
        <f>IFERROR(PayGapsForMalesInRacialEthnicGroupsByOccupationalSeries[[#This Row],[Black Male Avg Salary]]/PayGapsForMalesInRacialEthnicGroupsByOccupationalSeries[[#This Row],[White Male Average Salary]],"")</f>
        <v>0.96211748161123622</v>
      </c>
      <c r="P309" s="15">
        <f>IFERROR(PayGapsForMalesInRacialEthnicGroupsByOccupationalSeries[[#This Row],[Hispanic Latino Male Employees]]/Q$318,"")</f>
        <v>1.5449823648394539E-3</v>
      </c>
      <c r="Q309" s="16">
        <v>152</v>
      </c>
      <c r="R309" s="17">
        <v>86798</v>
      </c>
      <c r="S309" s="18">
        <f>IFERROR(PayGapsForMalesInRacialEthnicGroupsByOccupationalSeries[[#This Row],[Hispanic Latino Male Avg Salary]]/PayGapsForMalesInRacialEthnicGroupsByOccupationalSeries[[#This Row],[White Male Average Salary]],"")</f>
        <v>0.9518459204784715</v>
      </c>
      <c r="T309" s="15" t="str">
        <f>IFERROR(PayGapsForMalesInRacialEthnicGroupsByOccupationalSeries[[#This Row],[Other Male Employees]]/U$318,"")</f>
        <v/>
      </c>
      <c r="U309" s="16" t="s">
        <v>0</v>
      </c>
      <c r="V309" s="17" t="s">
        <v>0</v>
      </c>
      <c r="W309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10" spans="1:23" ht="15.6" x14ac:dyDescent="0.3">
      <c r="A310" s="4" t="s">
        <v>318</v>
      </c>
      <c r="B310" s="25">
        <v>506</v>
      </c>
      <c r="C310" s="26">
        <v>53935.806324110999</v>
      </c>
      <c r="D310" s="15" t="str">
        <f>IFERROR(PayGapsForMalesInRacialEthnicGroupsByOccupationalSeries[[#This Row],[AIAN Male Employees]]/E$318,"")</f>
        <v/>
      </c>
      <c r="E310" s="16" t="s">
        <v>0</v>
      </c>
      <c r="F310" s="17" t="s">
        <v>0</v>
      </c>
      <c r="G310" s="18" t="s">
        <v>0</v>
      </c>
      <c r="H310" s="15" t="str">
        <f>IFERROR(PayGapsForMalesInRacialEthnicGroupsByOccupationalSeries[[#This Row],[ANHPI Male Employees]]/I$318,"")</f>
        <v/>
      </c>
      <c r="I310" s="16" t="s">
        <v>0</v>
      </c>
      <c r="J310" s="17" t="s">
        <v>0</v>
      </c>
      <c r="K310" s="18" t="s">
        <v>0</v>
      </c>
      <c r="L310" s="15">
        <f>IFERROR(PayGapsForMalesInRacialEthnicGroupsByOccupationalSeries[[#This Row],[Black Male Employees]]/M$318,"")</f>
        <v>8.7989441267047959E-4</v>
      </c>
      <c r="M310" s="16">
        <v>110</v>
      </c>
      <c r="N310" s="17">
        <v>53919</v>
      </c>
      <c r="O310" s="18">
        <f>IFERROR(PayGapsForMalesInRacialEthnicGroupsByOccupationalSeries[[#This Row],[Black Male Avg Salary]]/PayGapsForMalesInRacialEthnicGroupsByOccupationalSeries[[#This Row],[White Male Average Salary]],"")</f>
        <v>0.99968840135604897</v>
      </c>
      <c r="P310" s="15">
        <f>IFERROR(PayGapsForMalesInRacialEthnicGroupsByOccupationalSeries[[#This Row],[Hispanic Latino Male Employees]]/Q$318,"")</f>
        <v>6.6068324812213494E-4</v>
      </c>
      <c r="Q310" s="16">
        <v>65</v>
      </c>
      <c r="R310" s="17">
        <v>53116.276923076999</v>
      </c>
      <c r="S310" s="18">
        <f>IFERROR(PayGapsForMalesInRacialEthnicGroupsByOccupationalSeries[[#This Row],[Hispanic Latino Male Avg Salary]]/PayGapsForMalesInRacialEthnicGroupsByOccupationalSeries[[#This Row],[White Male Average Salary]],"")</f>
        <v>0.98480546677824221</v>
      </c>
      <c r="T310" s="15" t="str">
        <f>IFERROR(PayGapsForMalesInRacialEthnicGroupsByOccupationalSeries[[#This Row],[Other Male Employees]]/U$318,"")</f>
        <v/>
      </c>
      <c r="U310" s="16" t="s">
        <v>0</v>
      </c>
      <c r="V310" s="17" t="s">
        <v>0</v>
      </c>
      <c r="W310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11" spans="1:23" ht="15.6" x14ac:dyDescent="0.3">
      <c r="A311" s="4" t="s">
        <v>319</v>
      </c>
      <c r="B311" s="25">
        <v>12527</v>
      </c>
      <c r="C311" s="26">
        <v>137267.88605876701</v>
      </c>
      <c r="D311" s="15" t="str">
        <f>IFERROR(PayGapsForMalesInRacialEthnicGroupsByOccupationalSeries[[#This Row],[AIAN Male Employees]]/E$318,"")</f>
        <v/>
      </c>
      <c r="E311" s="16" t="s">
        <v>0</v>
      </c>
      <c r="F311" s="17" t="s">
        <v>0</v>
      </c>
      <c r="G311" s="18" t="s">
        <v>0</v>
      </c>
      <c r="H311" s="15">
        <f>IFERROR(PayGapsForMalesInRacialEthnicGroupsByOccupationalSeries[[#This Row],[ANHPI Male Employees]]/I$318,"")</f>
        <v>7.7216569767441859E-3</v>
      </c>
      <c r="I311" s="16">
        <v>510</v>
      </c>
      <c r="J311" s="17">
        <v>133917.039215686</v>
      </c>
      <c r="K311" s="18">
        <f>PayGapsForMalesInRacialEthnicGroupsByOccupationalSeries[[#This Row],[ANHPI Male Avg Salary]]/PayGapsForMalesInRacialEthnicGroupsByOccupationalSeries[[#This Row],[White Male Average Salary]]</f>
        <v>0.97558899652868236</v>
      </c>
      <c r="L311" s="15">
        <f>IFERROR(PayGapsForMalesInRacialEthnicGroupsByOccupationalSeries[[#This Row],[Black Male Employees]]/M$318,"")</f>
        <v>8.7189537255529335E-3</v>
      </c>
      <c r="M311" s="16">
        <v>1090</v>
      </c>
      <c r="N311" s="17">
        <v>136486.973394495</v>
      </c>
      <c r="O311" s="18">
        <f>IFERROR(PayGapsForMalesInRacialEthnicGroupsByOccupationalSeries[[#This Row],[Black Male Avg Salary]]/PayGapsForMalesInRacialEthnicGroupsByOccupationalSeries[[#This Row],[White Male Average Salary]],"")</f>
        <v>0.99431103161348544</v>
      </c>
      <c r="P311" s="15">
        <f>IFERROR(PayGapsForMalesInRacialEthnicGroupsByOccupationalSeries[[#This Row],[Hispanic Latino Male Employees]]/Q$318,"")</f>
        <v>1.5754754378297063E-2</v>
      </c>
      <c r="Q311" s="16">
        <v>1550</v>
      </c>
      <c r="R311" s="17">
        <v>131710.148387097</v>
      </c>
      <c r="S311" s="18">
        <f>IFERROR(PayGapsForMalesInRacialEthnicGroupsByOccupationalSeries[[#This Row],[Hispanic Latino Male Avg Salary]]/PayGapsForMalesInRacialEthnicGroupsByOccupationalSeries[[#This Row],[White Male Average Salary]],"")</f>
        <v>0.95951174137488626</v>
      </c>
      <c r="T311" s="15">
        <f>IFERROR(PayGapsForMalesInRacialEthnicGroupsByOccupationalSeries[[#This Row],[Other Male Employees]]/U$318,"")</f>
        <v>2.3893074620703891E-2</v>
      </c>
      <c r="U311" s="16">
        <v>463</v>
      </c>
      <c r="V311" s="17">
        <v>123716.08207343399</v>
      </c>
      <c r="W311" s="18">
        <f>IFERROR(PayGapsForMalesInRacialEthnicGroupsByOccupationalSeries[[#This Row],[Other Male Avg Salary]]/PayGapsForMalesInRacialEthnicGroupsByOccupationalSeries[[#This Row],[White Male Average Salary]],"")</f>
        <v>0.90127476735868706</v>
      </c>
    </row>
    <row r="312" spans="1:23" ht="15.6" x14ac:dyDescent="0.3">
      <c r="A312" s="4" t="s">
        <v>320</v>
      </c>
      <c r="B312" s="25">
        <v>111</v>
      </c>
      <c r="C312" s="26">
        <v>69951.774774774996</v>
      </c>
      <c r="D312" s="15" t="str">
        <f>IFERROR(PayGapsForMalesInRacialEthnicGroupsByOccupationalSeries[[#This Row],[AIAN Male Employees]]/E$318,"")</f>
        <v/>
      </c>
      <c r="E312" s="16" t="s">
        <v>0</v>
      </c>
      <c r="F312" s="17" t="s">
        <v>0</v>
      </c>
      <c r="G312" s="18" t="s">
        <v>0</v>
      </c>
      <c r="H312" s="15" t="str">
        <f>IFERROR(PayGapsForMalesInRacialEthnicGroupsByOccupationalSeries[[#This Row],[ANHPI Male Employees]]/I$318,"")</f>
        <v/>
      </c>
      <c r="I312" s="16" t="s">
        <v>0</v>
      </c>
      <c r="J312" s="17" t="s">
        <v>0</v>
      </c>
      <c r="K312" s="18" t="s">
        <v>0</v>
      </c>
      <c r="L312" s="15" t="str">
        <f>IFERROR(PayGapsForMalesInRacialEthnicGroupsByOccupationalSeries[[#This Row],[Black Male Employees]]/M$318,"")</f>
        <v/>
      </c>
      <c r="M312" s="16" t="s">
        <v>0</v>
      </c>
      <c r="N312" s="17" t="s">
        <v>0</v>
      </c>
      <c r="O312" s="18" t="str">
        <f>IFERROR(PayGapsForMalesInRacialEthnicGroupsByOccupationalSeries[[#This Row],[Black Male Avg Salary]]/PayGapsForMalesInRacialEthnicGroupsByOccupationalSeries[[#This Row],[White Male Average Salary]],"")</f>
        <v/>
      </c>
      <c r="P312" s="15" t="str">
        <f>IFERROR(PayGapsForMalesInRacialEthnicGroupsByOccupationalSeries[[#This Row],[Hispanic Latino Male Employees]]/Q$318,"")</f>
        <v/>
      </c>
      <c r="Q312" s="16" t="s">
        <v>0</v>
      </c>
      <c r="R312" s="17" t="s">
        <v>0</v>
      </c>
      <c r="S312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12" s="15" t="str">
        <f>IFERROR(PayGapsForMalesInRacialEthnicGroupsByOccupationalSeries[[#This Row],[Other Male Employees]]/U$318,"")</f>
        <v/>
      </c>
      <c r="U312" s="16" t="s">
        <v>0</v>
      </c>
      <c r="V312" s="17" t="s">
        <v>0</v>
      </c>
      <c r="W312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13" spans="1:23" ht="15.6" x14ac:dyDescent="0.3">
      <c r="A313" s="4" t="s">
        <v>321</v>
      </c>
      <c r="B313" s="25">
        <v>2121</v>
      </c>
      <c r="C313" s="26">
        <v>122849.40084985799</v>
      </c>
      <c r="D313" s="15" t="str">
        <f>IFERROR(PayGapsForMalesInRacialEthnicGroupsByOccupationalSeries[[#This Row],[AIAN Male Employees]]/E$318,"")</f>
        <v/>
      </c>
      <c r="E313" s="16" t="s">
        <v>0</v>
      </c>
      <c r="F313" s="17" t="s">
        <v>0</v>
      </c>
      <c r="G313" s="18" t="s">
        <v>0</v>
      </c>
      <c r="H313" s="15" t="str">
        <f>IFERROR(PayGapsForMalesInRacialEthnicGroupsByOccupationalSeries[[#This Row],[ANHPI Male Employees]]/I$318,"")</f>
        <v/>
      </c>
      <c r="I313" s="16" t="s">
        <v>0</v>
      </c>
      <c r="J313" s="17" t="s">
        <v>0</v>
      </c>
      <c r="K313" s="18" t="s">
        <v>0</v>
      </c>
      <c r="L313" s="15" t="str">
        <f>IFERROR(PayGapsForMalesInRacialEthnicGroupsByOccupationalSeries[[#This Row],[Black Male Employees]]/M$318,"")</f>
        <v/>
      </c>
      <c r="M313" s="16" t="s">
        <v>0</v>
      </c>
      <c r="N313" s="17" t="s">
        <v>0</v>
      </c>
      <c r="O313" s="18" t="str">
        <f>IFERROR(PayGapsForMalesInRacialEthnicGroupsByOccupationalSeries[[#This Row],[Black Male Avg Salary]]/PayGapsForMalesInRacialEthnicGroupsByOccupationalSeries[[#This Row],[White Male Average Salary]],"")</f>
        <v/>
      </c>
      <c r="P313" s="15">
        <f>IFERROR(PayGapsForMalesInRacialEthnicGroupsByOccupationalSeries[[#This Row],[Hispanic Latino Male Employees]]/Q$318,"")</f>
        <v>1.0875862699856683E-3</v>
      </c>
      <c r="Q313" s="16">
        <v>107</v>
      </c>
      <c r="R313" s="17">
        <v>120201.560747664</v>
      </c>
      <c r="S313" s="18">
        <f>IFERROR(PayGapsForMalesInRacialEthnicGroupsByOccupationalSeries[[#This Row],[Hispanic Latino Male Avg Salary]]/PayGapsForMalesInRacialEthnicGroupsByOccupationalSeries[[#This Row],[White Male Average Salary]],"")</f>
        <v>0.97844645489618554</v>
      </c>
      <c r="T313" s="15" t="str">
        <f>IFERROR(PayGapsForMalesInRacialEthnicGroupsByOccupationalSeries[[#This Row],[Other Male Employees]]/U$318,"")</f>
        <v/>
      </c>
      <c r="U313" s="16" t="s">
        <v>0</v>
      </c>
      <c r="V313" s="17" t="s">
        <v>0</v>
      </c>
      <c r="W313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14" spans="1:23" ht="15.6" x14ac:dyDescent="0.3">
      <c r="A314" s="4" t="s">
        <v>322</v>
      </c>
      <c r="B314" s="25">
        <v>336</v>
      </c>
      <c r="C314" s="26">
        <v>76464.830357143001</v>
      </c>
      <c r="D314" s="15" t="str">
        <f>IFERROR(PayGapsForMalesInRacialEthnicGroupsByOccupationalSeries[[#This Row],[AIAN Male Employees]]/E$318,"")</f>
        <v/>
      </c>
      <c r="E314" s="16" t="s">
        <v>0</v>
      </c>
      <c r="F314" s="17" t="s">
        <v>0</v>
      </c>
      <c r="G314" s="18" t="s">
        <v>0</v>
      </c>
      <c r="H314" s="15" t="str">
        <f>IFERROR(PayGapsForMalesInRacialEthnicGroupsByOccupationalSeries[[#This Row],[ANHPI Male Employees]]/I$318,"")</f>
        <v/>
      </c>
      <c r="I314" s="16" t="s">
        <v>0</v>
      </c>
      <c r="J314" s="17" t="s">
        <v>0</v>
      </c>
      <c r="K314" s="18" t="s">
        <v>0</v>
      </c>
      <c r="L314" s="15" t="str">
        <f>IFERROR(PayGapsForMalesInRacialEthnicGroupsByOccupationalSeries[[#This Row],[Black Male Employees]]/M$318,"")</f>
        <v/>
      </c>
      <c r="M314" s="16" t="s">
        <v>0</v>
      </c>
      <c r="N314" s="17" t="s">
        <v>0</v>
      </c>
      <c r="O314" s="18" t="str">
        <f>IFERROR(PayGapsForMalesInRacialEthnicGroupsByOccupationalSeries[[#This Row],[Black Male Avg Salary]]/PayGapsForMalesInRacialEthnicGroupsByOccupationalSeries[[#This Row],[White Male Average Salary]],"")</f>
        <v/>
      </c>
      <c r="P314" s="15" t="str">
        <f>IFERROR(PayGapsForMalesInRacialEthnicGroupsByOccupationalSeries[[#This Row],[Hispanic Latino Male Employees]]/Q$318,"")</f>
        <v/>
      </c>
      <c r="Q314" s="16" t="s">
        <v>0</v>
      </c>
      <c r="R314" s="17" t="s">
        <v>0</v>
      </c>
      <c r="S314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14" s="15" t="str">
        <f>IFERROR(PayGapsForMalesInRacialEthnicGroupsByOccupationalSeries[[#This Row],[Other Male Employees]]/U$318,"")</f>
        <v/>
      </c>
      <c r="U314" s="16" t="s">
        <v>0</v>
      </c>
      <c r="V314" s="17" t="s">
        <v>0</v>
      </c>
      <c r="W314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15" spans="1:23" ht="31.2" x14ac:dyDescent="0.3">
      <c r="A315" s="4" t="s">
        <v>323</v>
      </c>
      <c r="B315" s="25">
        <v>423</v>
      </c>
      <c r="C315" s="26">
        <v>170893.10638297899</v>
      </c>
      <c r="D315" s="15" t="str">
        <f>IFERROR(PayGapsForMalesInRacialEthnicGroupsByOccupationalSeries[[#This Row],[AIAN Male Employees]]/E$318,"")</f>
        <v/>
      </c>
      <c r="E315" s="16" t="s">
        <v>0</v>
      </c>
      <c r="F315" s="17" t="s">
        <v>0</v>
      </c>
      <c r="G315" s="18" t="s">
        <v>0</v>
      </c>
      <c r="H315" s="15" t="str">
        <f>IFERROR(PayGapsForMalesInRacialEthnicGroupsByOccupationalSeries[[#This Row],[ANHPI Male Employees]]/I$318,"")</f>
        <v/>
      </c>
      <c r="I315" s="16" t="s">
        <v>0</v>
      </c>
      <c r="J315" s="17" t="s">
        <v>0</v>
      </c>
      <c r="K315" s="18" t="s">
        <v>0</v>
      </c>
      <c r="L315" s="15" t="str">
        <f>IFERROR(PayGapsForMalesInRacialEthnicGroupsByOccupationalSeries[[#This Row],[Black Male Employees]]/M$318,"")</f>
        <v/>
      </c>
      <c r="M315" s="16" t="s">
        <v>0</v>
      </c>
      <c r="N315" s="17" t="s">
        <v>0</v>
      </c>
      <c r="O315" s="18" t="str">
        <f>IFERROR(PayGapsForMalesInRacialEthnicGroupsByOccupationalSeries[[#This Row],[Black Male Avg Salary]]/PayGapsForMalesInRacialEthnicGroupsByOccupationalSeries[[#This Row],[White Male Average Salary]],"")</f>
        <v/>
      </c>
      <c r="P315" s="15" t="str">
        <f>IFERROR(PayGapsForMalesInRacialEthnicGroupsByOccupationalSeries[[#This Row],[Hispanic Latino Male Employees]]/Q$318,"")</f>
        <v/>
      </c>
      <c r="Q315" s="16" t="s">
        <v>0</v>
      </c>
      <c r="R315" s="17" t="s">
        <v>0</v>
      </c>
      <c r="S315" s="18" t="str">
        <f>IFERROR(PayGapsForMalesInRacialEthnicGroupsByOccupationalSeries[[#This Row],[Hispanic Latino Male Avg Salary]]/PayGapsForMalesInRacialEthnicGroupsByOccupationalSeries[[#This Row],[White Male Average Salary]],"")</f>
        <v/>
      </c>
      <c r="T315" s="15" t="str">
        <f>IFERROR(PayGapsForMalesInRacialEthnicGroupsByOccupationalSeries[[#This Row],[Other Male Employees]]/U$318,"")</f>
        <v/>
      </c>
      <c r="U315" s="16" t="s">
        <v>0</v>
      </c>
      <c r="V315" s="17" t="s">
        <v>0</v>
      </c>
      <c r="W315" s="18" t="str">
        <f>IFERROR(PayGapsForMalesInRacialEthnicGroupsByOccupationalSeries[[#This Row],[Other Male Avg Salary]]/PayGapsForMalesInRacialEthnicGroupsByOccupationalSeries[[#This Row],[White Male Average Salary]],"")</f>
        <v/>
      </c>
    </row>
    <row r="316" spans="1:23" ht="31.2" x14ac:dyDescent="0.3">
      <c r="A316" s="4" t="s">
        <v>324</v>
      </c>
      <c r="B316" s="25">
        <v>41672</v>
      </c>
      <c r="C316" s="26">
        <v>115303.446856018</v>
      </c>
      <c r="D316" s="15">
        <f>IFERROR(PayGapsForMalesInRacialEthnicGroupsByOccupationalSeries[[#This Row],[AIAN Male Employees]]/E$318,"")</f>
        <v>6.3645621181262726E-2</v>
      </c>
      <c r="E316" s="16">
        <v>625</v>
      </c>
      <c r="F316" s="17">
        <v>104198.8704</v>
      </c>
      <c r="G316" s="18">
        <f>PayGapsForMalesInRacialEthnicGroupsByOccupationalSeries[[#This Row],[AIAN Male Avg Salary]]/PayGapsForMalesInRacialEthnicGroupsByOccupationalSeries[[#This Row],[White Male Average Salary]]</f>
        <v>0.903692588913803</v>
      </c>
      <c r="H316" s="15">
        <f>IFERROR(PayGapsForMalesInRacialEthnicGroupsByOccupationalSeries[[#This Row],[ANHPI Male Employees]]/I$318,"")</f>
        <v>9.8428415697674423E-2</v>
      </c>
      <c r="I316" s="16">
        <v>6501</v>
      </c>
      <c r="J316" s="17">
        <v>126941.696983687</v>
      </c>
      <c r="K316" s="18">
        <f>PayGapsForMalesInRacialEthnicGroupsByOccupationalSeries[[#This Row],[ANHPI Male Avg Salary]]/PayGapsForMalesInRacialEthnicGroupsByOccupationalSeries[[#This Row],[White Male Average Salary]]</f>
        <v>1.1009358388236385</v>
      </c>
      <c r="L316" s="15">
        <f>IFERROR(PayGapsForMalesInRacialEthnicGroupsByOccupationalSeries[[#This Row],[Black Male Employees]]/M$318,"")</f>
        <v>8.5749710034795826E-2</v>
      </c>
      <c r="M316" s="16">
        <v>10720</v>
      </c>
      <c r="N316" s="17">
        <v>114534.89023707301</v>
      </c>
      <c r="O316" s="18">
        <f>IFERROR(PayGapsForMalesInRacialEthnicGroupsByOccupationalSeries[[#This Row],[Black Male Avg Salary]]/PayGapsForMalesInRacialEthnicGroupsByOccupationalSeries[[#This Row],[White Male Average Salary]],"")</f>
        <v>0.99333448704352523</v>
      </c>
      <c r="P316" s="15">
        <f>IFERROR(PayGapsForMalesInRacialEthnicGroupsByOccupationalSeries[[#This Row],[Hispanic Latino Male Employees]]/Q$318,"")</f>
        <v>4.5698952054724899E-2</v>
      </c>
      <c r="Q316" s="16">
        <v>4496</v>
      </c>
      <c r="R316" s="17">
        <v>109827.71752669</v>
      </c>
      <c r="S316" s="18">
        <f>IFERROR(PayGapsForMalesInRacialEthnicGroupsByOccupationalSeries[[#This Row],[Hispanic Latino Male Avg Salary]]/PayGapsForMalesInRacialEthnicGroupsByOccupationalSeries[[#This Row],[White Male Average Salary]],"")</f>
        <v>0.95251027199416105</v>
      </c>
      <c r="T316" s="15">
        <f>IFERROR(PayGapsForMalesInRacialEthnicGroupsByOccupationalSeries[[#This Row],[Other Male Employees]]/U$318,"")</f>
        <v>8.7883166477448649E-2</v>
      </c>
      <c r="U316" s="16">
        <v>1703</v>
      </c>
      <c r="V316" s="17">
        <v>108438.893592005</v>
      </c>
      <c r="W316" s="18">
        <f>IFERROR(PayGapsForMalesInRacialEthnicGroupsByOccupationalSeries[[#This Row],[Other Male Avg Salary]]/PayGapsForMalesInRacialEthnicGroupsByOccupationalSeries[[#This Row],[White Male Average Salary]],"")</f>
        <v>0.94046532474796773</v>
      </c>
    </row>
    <row r="317" spans="1:23" ht="15.6" x14ac:dyDescent="0.3">
      <c r="A317" s="4" t="s">
        <v>7</v>
      </c>
      <c r="B317" s="25">
        <v>1609</v>
      </c>
      <c r="C317" s="26">
        <v>96867</v>
      </c>
      <c r="D317" s="15">
        <f>IFERROR(PayGapsForMalesInRacialEthnicGroupsByOccupationalSeries[[#This Row],[AIAN Male Employees]]/E$318,"")</f>
        <v>0.31171079429735232</v>
      </c>
      <c r="E317" s="16">
        <v>3061</v>
      </c>
      <c r="F317" s="17">
        <v>91599</v>
      </c>
      <c r="G317" s="18">
        <f>PayGapsForMalesInRacialEthnicGroupsByOccupationalSeries[[#This Row],[AIAN Male Avg Salary]]/PayGapsForMalesInRacialEthnicGroupsByOccupationalSeries[[#This Row],[White Male Average Salary]]</f>
        <v>0.94561615410821021</v>
      </c>
      <c r="H317" s="15">
        <f>IFERROR(PayGapsForMalesInRacialEthnicGroupsByOccupationalSeries[[#This Row],[ANHPI Male Employees]]/I$318,"")</f>
        <v>5.2189316860465115E-2</v>
      </c>
      <c r="I317" s="16">
        <v>3447</v>
      </c>
      <c r="J317" s="17">
        <v>102406</v>
      </c>
      <c r="K317" s="18">
        <f>PayGapsForMalesInRacialEthnicGroupsByOccupationalSeries[[#This Row],[ANHPI Male Avg Salary]]/PayGapsForMalesInRacialEthnicGroupsByOccupationalSeries[[#This Row],[White Male Average Salary]]</f>
        <v>1.0571814962784023</v>
      </c>
      <c r="L317" s="15">
        <f>IFERROR(PayGapsForMalesInRacialEthnicGroupsByOccupationalSeries[[#This Row],[Black Male Employees]]/M$318,"")</f>
        <v>2.0461544614646242E-2</v>
      </c>
      <c r="M317" s="16">
        <v>2558</v>
      </c>
      <c r="N317" s="17">
        <v>95993</v>
      </c>
      <c r="O317" s="18">
        <f>IFERROR(PayGapsForMalesInRacialEthnicGroupsByOccupationalSeries[[#This Row],[Black Male Avg Salary]]/PayGapsForMalesInRacialEthnicGroupsByOccupationalSeries[[#This Row],[White Male Average Salary]],"")</f>
        <v>0.99097731941734546</v>
      </c>
      <c r="P317" s="15">
        <f>IFERROR(PayGapsForMalesInRacialEthnicGroupsByOccupationalSeries[[#This Row],[Hispanic Latino Male Employees]]/Q$318,"")</f>
        <v>4.0667595011333262E-2</v>
      </c>
      <c r="Q317" s="16">
        <v>4001</v>
      </c>
      <c r="R317" s="17">
        <v>92070</v>
      </c>
      <c r="S317" s="18">
        <f>IFERROR(PayGapsForMalesInRacialEthnicGroupsByOccupationalSeries[[#This Row],[Hispanic Latino Male Avg Salary]]/PayGapsForMalesInRacialEthnicGroupsByOccupationalSeries[[#This Row],[White Male Average Salary]],"")</f>
        <v>0.95047849112700922</v>
      </c>
      <c r="T317" s="15">
        <f>IFERROR(PayGapsForMalesInRacialEthnicGroupsByOccupationalSeries[[#This Row],[Other Male Employees]]/U$318,"")</f>
        <v>0.14650634740427287</v>
      </c>
      <c r="U317" s="16">
        <v>2839</v>
      </c>
      <c r="V317" s="17">
        <v>90885</v>
      </c>
      <c r="W317" s="18">
        <f>IFERROR(PayGapsForMalesInRacialEthnicGroupsByOccupationalSeries[[#This Row],[Other Male Avg Salary]]/PayGapsForMalesInRacialEthnicGroupsByOccupationalSeries[[#This Row],[White Male Average Salary]],"")</f>
        <v>0.93824522283130474</v>
      </c>
    </row>
    <row r="318" spans="1:23" ht="15.6" x14ac:dyDescent="0.3">
      <c r="A318" s="4" t="s">
        <v>8</v>
      </c>
      <c r="B318" s="27">
        <f>SUM(B4:B317)</f>
        <v>625834</v>
      </c>
      <c r="C318" s="28"/>
      <c r="D318" s="19">
        <f>SUM(D4:D317)</f>
        <v>1</v>
      </c>
      <c r="E318" s="20">
        <f>SUM(E4:E317)</f>
        <v>9820</v>
      </c>
      <c r="F318" s="21"/>
      <c r="G318" s="22"/>
      <c r="H318" s="19">
        <f>SUM(H4:H317)</f>
        <v>1.0000000000000002</v>
      </c>
      <c r="I318" s="20">
        <f>SUM(I4:I317)</f>
        <v>66048</v>
      </c>
      <c r="J318" s="21"/>
      <c r="K318" s="22"/>
      <c r="L318" s="19">
        <f>SUM(L4:L317)</f>
        <v>0.99999999999999967</v>
      </c>
      <c r="M318" s="20">
        <f>SUM(M4:M317)</f>
        <v>125015</v>
      </c>
      <c r="N318" s="21"/>
      <c r="O318" s="22" t="str">
        <f>IFERROR(PayGapsForMalesInRacialEthnicGroupsByOccupationalSeries[[#This Row],[Black Male Avg Salary]]/PayGapsForMalesInRacialEthnicGroupsByOccupationalSeries[[#This Row],[White Male Average Salary]],"")</f>
        <v/>
      </c>
      <c r="P318" s="19">
        <f>SUM(P4:P317)</f>
        <v>1</v>
      </c>
      <c r="Q318" s="20">
        <f>SUM(Q4:Q317)</f>
        <v>98383</v>
      </c>
      <c r="R318" s="21"/>
      <c r="S318" s="22" t="str">
        <f>IFERROR(PayGapsForMalesInRacialEthnicGroupsByOccupationalSeries[[#This Row],[Hispanic Latino Male Avg Salary]]/PayGapsForMalesInRacialEthnicGroupsByOccupationalSeries[[#This Row],[White Male Average Salary]],"")</f>
        <v/>
      </c>
      <c r="T318" s="19">
        <f>SUM(T4:T317)</f>
        <v>1.0000000000000002</v>
      </c>
      <c r="U318" s="20">
        <f>SUM(U4:U317)</f>
        <v>19378</v>
      </c>
      <c r="V318" s="21"/>
      <c r="W318" s="22" t="str">
        <f>IFERROR(PayGapsForMalesInRacialEthnicGroupsByOccupationalSeries[[#This Row],[Other Male Avg Salary]]/PayGapsForMalesInRacialEthnicGroupsByOccupationalSeries[[#This Row],[White Male Average Salary]],"")</f>
        <v/>
      </c>
    </row>
  </sheetData>
  <sheetProtection algorithmName="SHA-512" hashValue="7cXPZwTExza/Pe0cUMLbaav+Y9gvx4DHApNScjRh9/8cGyuTHcGYuQ4M3EFMAxrMkDO8+nYI4kJsmBHa3Nmtsg==" saltValue="zMuVZrIrNimUkMt0+4MQQA==" spinCount="100000" sheet="1" objects="1" scenarios="1" sort="0" autoFilter="0"/>
  <pageMargins left="0.7" right="0.7" top="0.75" bottom="0.75" header="0.3" footer="0.3"/>
  <pageSetup scale="58" orientation="portrait" r:id="rId1"/>
  <colBreaks count="3" manualBreakCount="3">
    <brk id="7" max="317" man="1"/>
    <brk id="11" max="1048575" man="1"/>
    <brk id="19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4AA6-CCB6-4D52-9209-34C1594404EA}">
  <dimension ref="A1:F320"/>
  <sheetViews>
    <sheetView zoomScaleNormal="100" workbookViewId="0">
      <selection activeCell="F320" sqref="F320"/>
    </sheetView>
  </sheetViews>
  <sheetFormatPr defaultRowHeight="14.4" x14ac:dyDescent="0.3"/>
  <cols>
    <col min="1" max="1" width="36.5546875" customWidth="1"/>
    <col min="2" max="2" width="13.88671875" customWidth="1"/>
    <col min="3" max="3" width="12.6640625" customWidth="1"/>
    <col min="4" max="4" width="14.109375" customWidth="1"/>
    <col min="5" max="5" width="13.33203125" customWidth="1"/>
    <col min="6" max="6" width="10.44140625" bestFit="1" customWidth="1"/>
  </cols>
  <sheetData>
    <row r="1" spans="1:6" ht="21" x14ac:dyDescent="0.3">
      <c r="A1" s="2" t="s">
        <v>384</v>
      </c>
    </row>
    <row r="2" spans="1:6" ht="18.600000000000001" thickBot="1" x14ac:dyDescent="0.4">
      <c r="A2" s="3" t="s">
        <v>387</v>
      </c>
    </row>
    <row r="3" spans="1:6" ht="31.8" thickTop="1" x14ac:dyDescent="0.3">
      <c r="A3" s="4" t="s">
        <v>6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31.2" x14ac:dyDescent="0.3">
      <c r="A4" s="4" t="s">
        <v>15</v>
      </c>
      <c r="B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4" s="29">
        <f>IFERROR(ROUND(PayGapsForMalesInRacialEthnicGroupsByOccupationalSeries[[#This Row],[Black Male Occ Dist]]*PayGapsForMalesInRacialEthnicGroupsByOccupationalSeries[[#This Row],[Black Male % White Male Avg Salary]],7),"")</f>
        <v>1.5158000000000001E-3</v>
      </c>
      <c r="E4" s="29">
        <f>IFERROR(ROUND(PayGapsForMalesInRacialEthnicGroupsByOccupationalSeries[[#This Row],[Hispanic - Latino Male Occ Dist]]*PayGapsForMalesInRacialEthnicGroupsByOccupationalSeries[[#This Row],[Hispanic Latino % White Male Avg Salary]],7),"")</f>
        <v>1.3718000000000001E-3</v>
      </c>
      <c r="F4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5" spans="1:6" ht="15.6" x14ac:dyDescent="0.3">
      <c r="A5" s="4" t="s">
        <v>16</v>
      </c>
      <c r="B5" s="29">
        <f>IFERROR(ROUND(PayGapsForMalesInRacialEthnicGroupsByOccupationalSeries[[#This Row],[AIAN Male Occ Dist]]*PayGapsForMalesInRacialEthnicGroupsByOccupationalSeries[[#This Row],[AIAN Male % White Male Avg Salary]],7),"")</f>
        <v>1.9811599999999999E-2</v>
      </c>
      <c r="C5" s="29">
        <f>IFERROR(ROUND(PayGapsForMalesInRacialEthnicGroupsByOccupationalSeries[[#This Row],[ANHPI Male Occ Dist]]*PayGapsForMalesInRacialEthnicGroupsByOccupationalSeries[[#This Row],[ANHPI Male % White Male Avg Salary]],7),"")</f>
        <v>3.2607000000000001E-3</v>
      </c>
      <c r="D5" s="29">
        <f>IFERROR(ROUND(PayGapsForMalesInRacialEthnicGroupsByOccupationalSeries[[#This Row],[Black Male Occ Dist]]*PayGapsForMalesInRacialEthnicGroupsByOccupationalSeries[[#This Row],[Black Male % White Male Avg Salary]],7),"")</f>
        <v>1.8051999999999999E-2</v>
      </c>
      <c r="E5" s="29">
        <f>IFERROR(ROUND(PayGapsForMalesInRacialEthnicGroupsByOccupationalSeries[[#This Row],[Hispanic - Latino Male Occ Dist]]*PayGapsForMalesInRacialEthnicGroupsByOccupationalSeries[[#This Row],[Hispanic Latino % White Male Avg Salary]],7),"")</f>
        <v>2.1942199999999999E-2</v>
      </c>
      <c r="F5" s="81">
        <f>IFERROR(ROUND(PayGapsForMalesInRacialEthnicGroupsByOccupationalSeries[[#This Row],[Other Male Occ Dist]]*PayGapsForMalesInRacialEthnicGroupsByOccupationalSeries[[#This Row],[Other Male % White Male Salary]],7),"")</f>
        <v>9.2504000000000006E-3</v>
      </c>
    </row>
    <row r="6" spans="1:6" ht="15.6" x14ac:dyDescent="0.3">
      <c r="A6" s="4" t="s">
        <v>17</v>
      </c>
      <c r="B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7" spans="1:6" ht="31.2" x14ac:dyDescent="0.3">
      <c r="A7" s="4" t="s">
        <v>18</v>
      </c>
      <c r="B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7" s="29">
        <f>IFERROR(ROUND(PayGapsForMalesInRacialEthnicGroupsByOccupationalSeries[[#This Row],[ANHPI Male Occ Dist]]*PayGapsForMalesInRacialEthnicGroupsByOccupationalSeries[[#This Row],[ANHPI Male % White Male Avg Salary]],7),"")</f>
        <v>2.0944000000000002E-3</v>
      </c>
      <c r="D7" s="29">
        <f>IFERROR(ROUND(PayGapsForMalesInRacialEthnicGroupsByOccupationalSeries[[#This Row],[Black Male Occ Dist]]*PayGapsForMalesInRacialEthnicGroupsByOccupationalSeries[[#This Row],[Black Male % White Male Avg Salary]],7),"")</f>
        <v>4.9161999999999999E-3</v>
      </c>
      <c r="E7" s="29">
        <f>IFERROR(ROUND(PayGapsForMalesInRacialEthnicGroupsByOccupationalSeries[[#This Row],[Hispanic - Latino Male Occ Dist]]*PayGapsForMalesInRacialEthnicGroupsByOccupationalSeries[[#This Row],[Hispanic Latino % White Male Avg Salary]],7),"")</f>
        <v>4.0191000000000003E-3</v>
      </c>
      <c r="F7" s="81">
        <f>IFERROR(ROUND(PayGapsForMalesInRacialEthnicGroupsByOccupationalSeries[[#This Row],[Other Male Occ Dist]]*PayGapsForMalesInRacialEthnicGroupsByOccupationalSeries[[#This Row],[Other Male % White Male Salary]],7),"")</f>
        <v>6.8443000000000002E-3</v>
      </c>
    </row>
    <row r="8" spans="1:6" ht="15.6" x14ac:dyDescent="0.3">
      <c r="A8" s="4" t="s">
        <v>19</v>
      </c>
      <c r="B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8" s="29">
        <f>IFERROR(ROUND(PayGapsForMalesInRacialEthnicGroupsByOccupationalSeries[[#This Row],[Black Male Occ Dist]]*PayGapsForMalesInRacialEthnicGroupsByOccupationalSeries[[#This Row],[Black Male % White Male Avg Salary]],7),"")</f>
        <v>5.0880000000000001E-4</v>
      </c>
      <c r="E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9" spans="1:6" ht="15.6" x14ac:dyDescent="0.3">
      <c r="A9" s="4" t="s">
        <v>20</v>
      </c>
      <c r="B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9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0" spans="1:6" ht="15.6" x14ac:dyDescent="0.3">
      <c r="A10" s="4" t="s">
        <v>21</v>
      </c>
      <c r="B1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0" s="29">
        <f>IFERROR(ROUND(PayGapsForMalesInRacialEthnicGroupsByOccupationalSeries[[#This Row],[Black Male Occ Dist]]*PayGapsForMalesInRacialEthnicGroupsByOccupationalSeries[[#This Row],[Black Male % White Male Avg Salary]],7),"")</f>
        <v>5.042E-4</v>
      </c>
      <c r="E10" s="29">
        <f>IFERROR(ROUND(PayGapsForMalesInRacialEthnicGroupsByOccupationalSeries[[#This Row],[Hispanic - Latino Male Occ Dist]]*PayGapsForMalesInRacialEthnicGroupsByOccupationalSeries[[#This Row],[Hispanic Latino % White Male Avg Salary]],7),"")</f>
        <v>1.2863E-3</v>
      </c>
      <c r="F1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1" spans="1:6" ht="31.2" x14ac:dyDescent="0.3">
      <c r="A11" s="4" t="s">
        <v>22</v>
      </c>
      <c r="B1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1" s="29">
        <f>IFERROR(ROUND(PayGapsForMalesInRacialEthnicGroupsByOccupationalSeries[[#This Row],[ANHPI Male Occ Dist]]*PayGapsForMalesInRacialEthnicGroupsByOccupationalSeries[[#This Row],[ANHPI Male % White Male Avg Salary]],7),"")</f>
        <v>1.8381000000000001E-3</v>
      </c>
      <c r="D11" s="29">
        <f>IFERROR(ROUND(PayGapsForMalesInRacialEthnicGroupsByOccupationalSeries[[#This Row],[Black Male Occ Dist]]*PayGapsForMalesInRacialEthnicGroupsByOccupationalSeries[[#This Row],[Black Male % White Male Avg Salary]],7),"")</f>
        <v>1.861E-3</v>
      </c>
      <c r="E11" s="29">
        <f>IFERROR(ROUND(PayGapsForMalesInRacialEthnicGroupsByOccupationalSeries[[#This Row],[Hispanic - Latino Male Occ Dist]]*PayGapsForMalesInRacialEthnicGroupsByOccupationalSeries[[#This Row],[Hispanic Latino % White Male Avg Salary]],7),"")</f>
        <v>1.9596000000000001E-3</v>
      </c>
      <c r="F11" s="81">
        <f>IFERROR(ROUND(PayGapsForMalesInRacialEthnicGroupsByOccupationalSeries[[#This Row],[Other Male Occ Dist]]*PayGapsForMalesInRacialEthnicGroupsByOccupationalSeries[[#This Row],[Other Male % White Male Salary]],7),"")</f>
        <v>2.9615000000000002E-3</v>
      </c>
    </row>
    <row r="12" spans="1:6" ht="15.6" x14ac:dyDescent="0.3">
      <c r="A12" s="4" t="s">
        <v>23</v>
      </c>
      <c r="B1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2" s="29">
        <f>IFERROR(ROUND(PayGapsForMalesInRacialEthnicGroupsByOccupationalSeries[[#This Row],[Black Male Occ Dist]]*PayGapsForMalesInRacialEthnicGroupsByOccupationalSeries[[#This Row],[Black Male % White Male Avg Salary]],7),"")</f>
        <v>6.9830000000000001E-4</v>
      </c>
      <c r="E1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3" spans="1:6" ht="15.6" x14ac:dyDescent="0.3">
      <c r="A13" s="4" t="s">
        <v>24</v>
      </c>
      <c r="B1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3" s="29">
        <f>IFERROR(ROUND(PayGapsForMalesInRacialEthnicGroupsByOccupationalSeries[[#This Row],[Black Male Occ Dist]]*PayGapsForMalesInRacialEthnicGroupsByOccupationalSeries[[#This Row],[Black Male % White Male Avg Salary]],7),"")</f>
        <v>1.7033E-3</v>
      </c>
      <c r="E1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4" spans="1:6" ht="15.6" x14ac:dyDescent="0.3">
      <c r="A14" s="4" t="s">
        <v>25</v>
      </c>
      <c r="B14" s="29">
        <f>IFERROR(ROUND(PayGapsForMalesInRacialEthnicGroupsByOccupationalSeries[[#This Row],[AIAN Male Occ Dist]]*PayGapsForMalesInRacialEthnicGroupsByOccupationalSeries[[#This Row],[AIAN Male % White Male Avg Salary]],7),"")</f>
        <v>7.9357999999999998E-3</v>
      </c>
      <c r="C14" s="29">
        <f>IFERROR(ROUND(PayGapsForMalesInRacialEthnicGroupsByOccupationalSeries[[#This Row],[ANHPI Male Occ Dist]]*PayGapsForMalesInRacialEthnicGroupsByOccupationalSeries[[#This Row],[ANHPI Male % White Male Avg Salary]],7),"")</f>
        <v>4.6785000000000004E-3</v>
      </c>
      <c r="D14" s="29">
        <f>IFERROR(ROUND(PayGapsForMalesInRacialEthnicGroupsByOccupationalSeries[[#This Row],[Black Male Occ Dist]]*PayGapsForMalesInRacialEthnicGroupsByOccupationalSeries[[#This Row],[Black Male % White Male Avg Salary]],7),"")</f>
        <v>1.6944799999999999E-2</v>
      </c>
      <c r="E14" s="29">
        <f>IFERROR(ROUND(PayGapsForMalesInRacialEthnicGroupsByOccupationalSeries[[#This Row],[Hispanic - Latino Male Occ Dist]]*PayGapsForMalesInRacialEthnicGroupsByOccupationalSeries[[#This Row],[Hispanic Latino % White Male Avg Salary]],7),"")</f>
        <v>8.2012000000000005E-3</v>
      </c>
      <c r="F14" s="81">
        <f>IFERROR(ROUND(PayGapsForMalesInRacialEthnicGroupsByOccupationalSeries[[#This Row],[Other Male Occ Dist]]*PayGapsForMalesInRacialEthnicGroupsByOccupationalSeries[[#This Row],[Other Male % White Male Salary]],7),"")</f>
        <v>1.50896E-2</v>
      </c>
    </row>
    <row r="15" spans="1:6" ht="15.6" x14ac:dyDescent="0.3">
      <c r="A15" s="4" t="s">
        <v>26</v>
      </c>
      <c r="B1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5" s="29">
        <f>IFERROR(ROUND(PayGapsForMalesInRacialEthnicGroupsByOccupationalSeries[[#This Row],[ANHPI Male Occ Dist]]*PayGapsForMalesInRacialEthnicGroupsByOccupationalSeries[[#This Row],[ANHPI Male % White Male Avg Salary]],7),"")</f>
        <v>4.9416E-3</v>
      </c>
      <c r="D15" s="29">
        <f>IFERROR(ROUND(PayGapsForMalesInRacialEthnicGroupsByOccupationalSeries[[#This Row],[Black Male Occ Dist]]*PayGapsForMalesInRacialEthnicGroupsByOccupationalSeries[[#This Row],[Black Male % White Male Avg Salary]],7),"")</f>
        <v>3.5509000000000001E-3</v>
      </c>
      <c r="E15" s="29">
        <f>IFERROR(ROUND(PayGapsForMalesInRacialEthnicGroupsByOccupationalSeries[[#This Row],[Hispanic - Latino Male Occ Dist]]*PayGapsForMalesInRacialEthnicGroupsByOccupationalSeries[[#This Row],[Hispanic Latino % White Male Avg Salary]],7),"")</f>
        <v>8.5368000000000006E-3</v>
      </c>
      <c r="F15" s="81">
        <f>IFERROR(ROUND(PayGapsForMalesInRacialEthnicGroupsByOccupationalSeries[[#This Row],[Other Male Occ Dist]]*PayGapsForMalesInRacialEthnicGroupsByOccupationalSeries[[#This Row],[Other Male % White Male Salary]],7),"")</f>
        <v>1.04741E-2</v>
      </c>
    </row>
    <row r="16" spans="1:6" ht="15.6" x14ac:dyDescent="0.3">
      <c r="A16" s="4" t="s">
        <v>27</v>
      </c>
      <c r="B1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7" spans="1:6" ht="15.6" x14ac:dyDescent="0.3">
      <c r="A17" s="4" t="s">
        <v>28</v>
      </c>
      <c r="B17" s="29">
        <f>IFERROR(ROUND(PayGapsForMalesInRacialEthnicGroupsByOccupationalSeries[[#This Row],[AIAN Male Occ Dist]]*PayGapsForMalesInRacialEthnicGroupsByOccupationalSeries[[#This Row],[AIAN Male % White Male Avg Salary]],7),"")</f>
        <v>1.8178E-2</v>
      </c>
      <c r="C17" s="29">
        <f>IFERROR(ROUND(PayGapsForMalesInRacialEthnicGroupsByOccupationalSeries[[#This Row],[ANHPI Male Occ Dist]]*PayGapsForMalesInRacialEthnicGroupsByOccupationalSeries[[#This Row],[ANHPI Male % White Male Avg Salary]],7),"")</f>
        <v>7.6293000000000003E-3</v>
      </c>
      <c r="D17" s="29">
        <f>IFERROR(ROUND(PayGapsForMalesInRacialEthnicGroupsByOccupationalSeries[[#This Row],[Black Male Occ Dist]]*PayGapsForMalesInRacialEthnicGroupsByOccupationalSeries[[#This Row],[Black Male % White Male Avg Salary]],7),"")</f>
        <v>1.6932900000000001E-2</v>
      </c>
      <c r="E17" s="29">
        <f>IFERROR(ROUND(PayGapsForMalesInRacialEthnicGroupsByOccupationalSeries[[#This Row],[Hispanic - Latino Male Occ Dist]]*PayGapsForMalesInRacialEthnicGroupsByOccupationalSeries[[#This Row],[Hispanic Latino % White Male Avg Salary]],7),"")</f>
        <v>1.33779E-2</v>
      </c>
      <c r="F17" s="81">
        <f>IFERROR(ROUND(PayGapsForMalesInRacialEthnicGroupsByOccupationalSeries[[#This Row],[Other Male Occ Dist]]*PayGapsForMalesInRacialEthnicGroupsByOccupationalSeries[[#This Row],[Other Male % White Male Salary]],7),"")</f>
        <v>1.3032699999999999E-2</v>
      </c>
    </row>
    <row r="18" spans="1:6" ht="15.6" x14ac:dyDescent="0.3">
      <c r="A18" s="4" t="s">
        <v>29</v>
      </c>
      <c r="B18" s="29">
        <f>IFERROR(ROUND(PayGapsForMalesInRacialEthnicGroupsByOccupationalSeries[[#This Row],[AIAN Male Occ Dist]]*PayGapsForMalesInRacialEthnicGroupsByOccupationalSeries[[#This Row],[AIAN Male % White Male Avg Salary]],7),"")</f>
        <v>2.1032800000000001E-2</v>
      </c>
      <c r="C18" s="29">
        <f>IFERROR(ROUND(PayGapsForMalesInRacialEthnicGroupsByOccupationalSeries[[#This Row],[ANHPI Male Occ Dist]]*PayGapsForMalesInRacialEthnicGroupsByOccupationalSeries[[#This Row],[ANHPI Male % White Male Avg Salary]],7),"")</f>
        <v>3.2422000000000002E-3</v>
      </c>
      <c r="D18" s="29">
        <f>IFERROR(ROUND(PayGapsForMalesInRacialEthnicGroupsByOccupationalSeries[[#This Row],[Black Male Occ Dist]]*PayGapsForMalesInRacialEthnicGroupsByOccupationalSeries[[#This Row],[Black Male % White Male Avg Salary]],7),"")</f>
        <v>8.6002000000000006E-3</v>
      </c>
      <c r="E18" s="29">
        <f>IFERROR(ROUND(PayGapsForMalesInRacialEthnicGroupsByOccupationalSeries[[#This Row],[Hispanic - Latino Male Occ Dist]]*PayGapsForMalesInRacialEthnicGroupsByOccupationalSeries[[#This Row],[Hispanic Latino % White Male Avg Salary]],7),"")</f>
        <v>3.9960000000000004E-3</v>
      </c>
      <c r="F18" s="81">
        <f>IFERROR(ROUND(PayGapsForMalesInRacialEthnicGroupsByOccupationalSeries[[#This Row],[Other Male Occ Dist]]*PayGapsForMalesInRacialEthnicGroupsByOccupationalSeries[[#This Row],[Other Male % White Male Salary]],7),"")</f>
        <v>5.2475999999999998E-3</v>
      </c>
    </row>
    <row r="19" spans="1:6" ht="15.6" x14ac:dyDescent="0.3">
      <c r="A19" s="4" t="s">
        <v>30</v>
      </c>
      <c r="B1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9" s="29">
        <f>IFERROR(ROUND(PayGapsForMalesInRacialEthnicGroupsByOccupationalSeries[[#This Row],[ANHPI Male Occ Dist]]*PayGapsForMalesInRacialEthnicGroupsByOccupationalSeries[[#This Row],[ANHPI Male % White Male Avg Salary]],7),"")</f>
        <v>1.6881000000000001E-3</v>
      </c>
      <c r="D19" s="29">
        <f>IFERROR(ROUND(PayGapsForMalesInRacialEthnicGroupsByOccupationalSeries[[#This Row],[Black Male Occ Dist]]*PayGapsForMalesInRacialEthnicGroupsByOccupationalSeries[[#This Row],[Black Male % White Male Avg Salary]],7),"")</f>
        <v>3.9291999999999999E-3</v>
      </c>
      <c r="E19" s="29">
        <f>IFERROR(ROUND(PayGapsForMalesInRacialEthnicGroupsByOccupationalSeries[[#This Row],[Hispanic - Latino Male Occ Dist]]*PayGapsForMalesInRacialEthnicGroupsByOccupationalSeries[[#This Row],[Hispanic Latino % White Male Avg Salary]],7),"")</f>
        <v>3.0178000000000002E-3</v>
      </c>
      <c r="F19" s="81">
        <f>IFERROR(ROUND(PayGapsForMalesInRacialEthnicGroupsByOccupationalSeries[[#This Row],[Other Male Occ Dist]]*PayGapsForMalesInRacialEthnicGroupsByOccupationalSeries[[#This Row],[Other Male % White Male Salary]],7),"")</f>
        <v>2.7693000000000001E-3</v>
      </c>
    </row>
    <row r="20" spans="1:6" ht="31.2" x14ac:dyDescent="0.3">
      <c r="A20" s="4" t="s">
        <v>31</v>
      </c>
      <c r="B2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0" s="29">
        <f>IFERROR(ROUND(PayGapsForMalesInRacialEthnicGroupsByOccupationalSeries[[#This Row],[ANHPI Male Occ Dist]]*PayGapsForMalesInRacialEthnicGroupsByOccupationalSeries[[#This Row],[ANHPI Male % White Male Avg Salary]],7),"")</f>
        <v>9.990000000000001E-4</v>
      </c>
      <c r="D20" s="29">
        <f>IFERROR(ROUND(PayGapsForMalesInRacialEthnicGroupsByOccupationalSeries[[#This Row],[Black Male Occ Dist]]*PayGapsForMalesInRacialEthnicGroupsByOccupationalSeries[[#This Row],[Black Male % White Male Avg Salary]],7),"")</f>
        <v>2.4849E-3</v>
      </c>
      <c r="E20" s="29">
        <f>IFERROR(ROUND(PayGapsForMalesInRacialEthnicGroupsByOccupationalSeries[[#This Row],[Hispanic - Latino Male Occ Dist]]*PayGapsForMalesInRacialEthnicGroupsByOccupationalSeries[[#This Row],[Hispanic Latino % White Male Avg Salary]],7),"")</f>
        <v>1.4208999999999999E-3</v>
      </c>
      <c r="F2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1" spans="1:6" ht="15.6" x14ac:dyDescent="0.3">
      <c r="A21" s="4" t="s">
        <v>32</v>
      </c>
      <c r="B2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1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2" spans="1:6" ht="15.6" x14ac:dyDescent="0.3">
      <c r="A22" s="4" t="s">
        <v>33</v>
      </c>
      <c r="B22" s="29">
        <f>IFERROR(ROUND(PayGapsForMalesInRacialEthnicGroupsByOccupationalSeries[[#This Row],[AIAN Male Occ Dist]]*PayGapsForMalesInRacialEthnicGroupsByOccupationalSeries[[#This Row],[AIAN Male % White Male Avg Salary]],7),"")</f>
        <v>6.4134999999999999E-3</v>
      </c>
      <c r="C22" s="29">
        <f>IFERROR(ROUND(PayGapsForMalesInRacialEthnicGroupsByOccupationalSeries[[#This Row],[ANHPI Male Occ Dist]]*PayGapsForMalesInRacialEthnicGroupsByOccupationalSeries[[#This Row],[ANHPI Male % White Male Avg Salary]],7),"")</f>
        <v>2.1415000000000002E-3</v>
      </c>
      <c r="D22" s="29">
        <f>IFERROR(ROUND(PayGapsForMalesInRacialEthnicGroupsByOccupationalSeries[[#This Row],[Black Male Occ Dist]]*PayGapsForMalesInRacialEthnicGroupsByOccupationalSeries[[#This Row],[Black Male % White Male Avg Salary]],7),"")</f>
        <v>8.6607000000000003E-3</v>
      </c>
      <c r="E22" s="29">
        <f>IFERROR(ROUND(PayGapsForMalesInRacialEthnicGroupsByOccupationalSeries[[#This Row],[Hispanic - Latino Male Occ Dist]]*PayGapsForMalesInRacialEthnicGroupsByOccupationalSeries[[#This Row],[Hispanic Latino % White Male Avg Salary]],7),"")</f>
        <v>3.7475E-3</v>
      </c>
      <c r="F22" s="81">
        <f>IFERROR(ROUND(PayGapsForMalesInRacialEthnicGroupsByOccupationalSeries[[#This Row],[Other Male Occ Dist]]*PayGapsForMalesInRacialEthnicGroupsByOccupationalSeries[[#This Row],[Other Male % White Male Salary]],7),"")</f>
        <v>4.1155000000000002E-3</v>
      </c>
    </row>
    <row r="23" spans="1:6" ht="31.2" x14ac:dyDescent="0.3">
      <c r="A23" s="4" t="s">
        <v>34</v>
      </c>
      <c r="B2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3" s="29">
        <f>IFERROR(ROUND(PayGapsForMalesInRacialEthnicGroupsByOccupationalSeries[[#This Row],[Black Male Occ Dist]]*PayGapsForMalesInRacialEthnicGroupsByOccupationalSeries[[#This Row],[Black Male % White Male Avg Salary]],7),"")</f>
        <v>3.6113E-3</v>
      </c>
      <c r="E2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4" spans="1:6" ht="15.6" x14ac:dyDescent="0.3">
      <c r="A24" s="4" t="s">
        <v>35</v>
      </c>
      <c r="B24" s="29">
        <f>IFERROR(ROUND(PayGapsForMalesInRacialEthnicGroupsByOccupationalSeries[[#This Row],[AIAN Male Occ Dist]]*PayGapsForMalesInRacialEthnicGroupsByOccupationalSeries[[#This Row],[AIAN Male % White Male Avg Salary]],7),"")</f>
        <v>9.4879000000000005E-3</v>
      </c>
      <c r="C24" s="29">
        <f>IFERROR(ROUND(PayGapsForMalesInRacialEthnicGroupsByOccupationalSeries[[#This Row],[ANHPI Male Occ Dist]]*PayGapsForMalesInRacialEthnicGroupsByOccupationalSeries[[#This Row],[ANHPI Male % White Male Avg Salary]],7),"")</f>
        <v>1.09877E-2</v>
      </c>
      <c r="D24" s="29">
        <f>IFERROR(ROUND(PayGapsForMalesInRacialEthnicGroupsByOccupationalSeries[[#This Row],[Black Male Occ Dist]]*PayGapsForMalesInRacialEthnicGroupsByOccupationalSeries[[#This Row],[Black Male % White Male Avg Salary]],7),"")</f>
        <v>1.3375E-2</v>
      </c>
      <c r="E24" s="29">
        <f>IFERROR(ROUND(PayGapsForMalesInRacialEthnicGroupsByOccupationalSeries[[#This Row],[Hispanic - Latino Male Occ Dist]]*PayGapsForMalesInRacialEthnicGroupsByOccupationalSeries[[#This Row],[Hispanic Latino % White Male Avg Salary]],7),"")</f>
        <v>1.7598200000000001E-2</v>
      </c>
      <c r="F24" s="81">
        <f>IFERROR(ROUND(PayGapsForMalesInRacialEthnicGroupsByOccupationalSeries[[#This Row],[Other Male Occ Dist]]*PayGapsForMalesInRacialEthnicGroupsByOccupationalSeries[[#This Row],[Other Male % White Male Salary]],7),"")</f>
        <v>5.7679999999999997E-3</v>
      </c>
    </row>
    <row r="25" spans="1:6" ht="31.2" x14ac:dyDescent="0.3">
      <c r="A25" s="4" t="s">
        <v>36</v>
      </c>
      <c r="B2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5" s="29">
        <f>IFERROR(ROUND(PayGapsForMalesInRacialEthnicGroupsByOccupationalSeries[[#This Row],[ANHPI Male Occ Dist]]*PayGapsForMalesInRacialEthnicGroupsByOccupationalSeries[[#This Row],[ANHPI Male % White Male Avg Salary]],7),"")</f>
        <v>8.252E-4</v>
      </c>
      <c r="D25" s="29">
        <f>IFERROR(ROUND(PayGapsForMalesInRacialEthnicGroupsByOccupationalSeries[[#This Row],[Black Male Occ Dist]]*PayGapsForMalesInRacialEthnicGroupsByOccupationalSeries[[#This Row],[Black Male % White Male Avg Salary]],7),"")</f>
        <v>1.1525999999999999E-3</v>
      </c>
      <c r="E2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6" spans="1:6" ht="15.6" x14ac:dyDescent="0.3">
      <c r="A26" s="4" t="s">
        <v>37</v>
      </c>
      <c r="B2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6" s="29">
        <f>IFERROR(ROUND(PayGapsForMalesInRacialEthnicGroupsByOccupationalSeries[[#This Row],[ANHPI Male Occ Dist]]*PayGapsForMalesInRacialEthnicGroupsByOccupationalSeries[[#This Row],[ANHPI Male % White Male Avg Salary]],7),"")</f>
        <v>4.3930000000000002E-3</v>
      </c>
      <c r="D26" s="29">
        <f>IFERROR(ROUND(PayGapsForMalesInRacialEthnicGroupsByOccupationalSeries[[#This Row],[Black Male Occ Dist]]*PayGapsForMalesInRacialEthnicGroupsByOccupationalSeries[[#This Row],[Black Male % White Male Avg Salary]],7),"")</f>
        <v>1.2263E-3</v>
      </c>
      <c r="E26" s="29">
        <f>IFERROR(ROUND(PayGapsForMalesInRacialEthnicGroupsByOccupationalSeries[[#This Row],[Hispanic - Latino Male Occ Dist]]*PayGapsForMalesInRacialEthnicGroupsByOccupationalSeries[[#This Row],[Hispanic Latino % White Male Avg Salary]],7),"")</f>
        <v>1.4989000000000001E-3</v>
      </c>
      <c r="F2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7" spans="1:6" ht="15.6" x14ac:dyDescent="0.3">
      <c r="A27" s="4" t="s">
        <v>38</v>
      </c>
      <c r="B2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7" s="29">
        <f>IFERROR(ROUND(PayGapsForMalesInRacialEthnicGroupsByOccupationalSeries[[#This Row],[ANHPI Male Occ Dist]]*PayGapsForMalesInRacialEthnicGroupsByOccupationalSeries[[#This Row],[ANHPI Male % White Male Avg Salary]],7),"")</f>
        <v>1.0678E-3</v>
      </c>
      <c r="D27" s="29">
        <f>IFERROR(ROUND(PayGapsForMalesInRacialEthnicGroupsByOccupationalSeries[[#This Row],[Black Male Occ Dist]]*PayGapsForMalesInRacialEthnicGroupsByOccupationalSeries[[#This Row],[Black Male % White Male Avg Salary]],7),"")</f>
        <v>4.4850000000000001E-4</v>
      </c>
      <c r="E27" s="29">
        <f>IFERROR(ROUND(PayGapsForMalesInRacialEthnicGroupsByOccupationalSeries[[#This Row],[Hispanic - Latino Male Occ Dist]]*PayGapsForMalesInRacialEthnicGroupsByOccupationalSeries[[#This Row],[Hispanic Latino % White Male Avg Salary]],7),"")</f>
        <v>9.0660000000000003E-4</v>
      </c>
      <c r="F2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8" spans="1:6" ht="15.6" x14ac:dyDescent="0.3">
      <c r="A28" s="4" t="s">
        <v>39</v>
      </c>
      <c r="B2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8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9" spans="1:6" ht="15.6" x14ac:dyDescent="0.3">
      <c r="A29" s="4" t="s">
        <v>40</v>
      </c>
      <c r="B2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9" s="29">
        <f>IFERROR(ROUND(PayGapsForMalesInRacialEthnicGroupsByOccupationalSeries[[#This Row],[ANHPI Male Occ Dist]]*PayGapsForMalesInRacialEthnicGroupsByOccupationalSeries[[#This Row],[ANHPI Male % White Male Avg Salary]],7),"")</f>
        <v>4.3715999999999998E-3</v>
      </c>
      <c r="D29" s="29">
        <f>IFERROR(ROUND(PayGapsForMalesInRacialEthnicGroupsByOccupationalSeries[[#This Row],[Black Male Occ Dist]]*PayGapsForMalesInRacialEthnicGroupsByOccupationalSeries[[#This Row],[Black Male % White Male Avg Salary]],7),"")</f>
        <v>4.6055000000000002E-3</v>
      </c>
      <c r="E29" s="29">
        <f>IFERROR(ROUND(PayGapsForMalesInRacialEthnicGroupsByOccupationalSeries[[#This Row],[Hispanic - Latino Male Occ Dist]]*PayGapsForMalesInRacialEthnicGroupsByOccupationalSeries[[#This Row],[Hispanic Latino % White Male Avg Salary]],7),"")</f>
        <v>7.6121000000000001E-3</v>
      </c>
      <c r="F29" s="81">
        <f>IFERROR(ROUND(PayGapsForMalesInRacialEthnicGroupsByOccupationalSeries[[#This Row],[Other Male Occ Dist]]*PayGapsForMalesInRacialEthnicGroupsByOccupationalSeries[[#This Row],[Other Male % White Male Salary]],7),"")</f>
        <v>1.1491700000000001E-2</v>
      </c>
    </row>
    <row r="30" spans="1:6" ht="15.6" x14ac:dyDescent="0.3">
      <c r="A30" s="4" t="s">
        <v>41</v>
      </c>
      <c r="B3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0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1" spans="1:6" ht="15.6" x14ac:dyDescent="0.3">
      <c r="A31" s="4" t="s">
        <v>42</v>
      </c>
      <c r="B3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1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2" spans="1:6" ht="15.6" x14ac:dyDescent="0.3">
      <c r="A32" s="4" t="s">
        <v>43</v>
      </c>
      <c r="B3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2" s="29">
        <f>IFERROR(ROUND(PayGapsForMalesInRacialEthnicGroupsByOccupationalSeries[[#This Row],[ANHPI Male Occ Dist]]*PayGapsForMalesInRacialEthnicGroupsByOccupationalSeries[[#This Row],[ANHPI Male % White Male Avg Salary]],7),"")</f>
        <v>1.5647E-3</v>
      </c>
      <c r="D32" s="29">
        <f>IFERROR(ROUND(PayGapsForMalesInRacialEthnicGroupsByOccupationalSeries[[#This Row],[Black Male Occ Dist]]*PayGapsForMalesInRacialEthnicGroupsByOccupationalSeries[[#This Row],[Black Male % White Male Avg Salary]],7),"")</f>
        <v>1.054E-3</v>
      </c>
      <c r="E32" s="29">
        <f>IFERROR(ROUND(PayGapsForMalesInRacialEthnicGroupsByOccupationalSeries[[#This Row],[Hispanic - Latino Male Occ Dist]]*PayGapsForMalesInRacialEthnicGroupsByOccupationalSeries[[#This Row],[Hispanic Latino % White Male Avg Salary]],7),"")</f>
        <v>1.4936000000000001E-3</v>
      </c>
      <c r="F32" s="81">
        <f>IFERROR(ROUND(PayGapsForMalesInRacialEthnicGroupsByOccupationalSeries[[#This Row],[Other Male Occ Dist]]*PayGapsForMalesInRacialEthnicGroupsByOccupationalSeries[[#This Row],[Other Male % White Male Salary]],7),"")</f>
        <v>1.9429E-3</v>
      </c>
    </row>
    <row r="33" spans="1:6" ht="15.6" x14ac:dyDescent="0.3">
      <c r="A33" s="4" t="s">
        <v>44</v>
      </c>
      <c r="B3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3" s="29">
        <f>IFERROR(ROUND(PayGapsForMalesInRacialEthnicGroupsByOccupationalSeries[[#This Row],[Black Male Occ Dist]]*PayGapsForMalesInRacialEthnicGroupsByOccupationalSeries[[#This Row],[Black Male % White Male Avg Salary]],7),"")</f>
        <v>6.3659999999999997E-4</v>
      </c>
      <c r="E3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4" spans="1:6" ht="15.6" x14ac:dyDescent="0.3">
      <c r="A34" s="4" t="s">
        <v>45</v>
      </c>
      <c r="B34" s="29">
        <f>IFERROR(ROUND(PayGapsForMalesInRacialEthnicGroupsByOccupationalSeries[[#This Row],[AIAN Male Occ Dist]]*PayGapsForMalesInRacialEthnicGroupsByOccupationalSeries[[#This Row],[AIAN Male % White Male Avg Salary]],7),"")</f>
        <v>5.1530999999999999E-3</v>
      </c>
      <c r="C34" s="29">
        <f>IFERROR(ROUND(PayGapsForMalesInRacialEthnicGroupsByOccupationalSeries[[#This Row],[ANHPI Male Occ Dist]]*PayGapsForMalesInRacialEthnicGroupsByOccupationalSeries[[#This Row],[ANHPI Male % White Male Avg Salary]],7),"")</f>
        <v>2.4870000000000001E-3</v>
      </c>
      <c r="D34" s="29">
        <f>IFERROR(ROUND(PayGapsForMalesInRacialEthnicGroupsByOccupationalSeries[[#This Row],[Black Male Occ Dist]]*PayGapsForMalesInRacialEthnicGroupsByOccupationalSeries[[#This Row],[Black Male % White Male Avg Salary]],7),"")</f>
        <v>5.0175000000000003E-3</v>
      </c>
      <c r="E34" s="29">
        <f>IFERROR(ROUND(PayGapsForMalesInRacialEthnicGroupsByOccupationalSeries[[#This Row],[Hispanic - Latino Male Occ Dist]]*PayGapsForMalesInRacialEthnicGroupsByOccupationalSeries[[#This Row],[Hispanic Latino % White Male Avg Salary]],7),"")</f>
        <v>3.1115000000000001E-3</v>
      </c>
      <c r="F34" s="81">
        <f>IFERROR(ROUND(PayGapsForMalesInRacialEthnicGroupsByOccupationalSeries[[#This Row],[Other Male Occ Dist]]*PayGapsForMalesInRacialEthnicGroupsByOccupationalSeries[[#This Row],[Other Male % White Male Salary]],7),"")</f>
        <v>2.8482E-3</v>
      </c>
    </row>
    <row r="35" spans="1:6" ht="31.2" x14ac:dyDescent="0.3">
      <c r="A35" s="4" t="s">
        <v>46</v>
      </c>
      <c r="B3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5" s="29">
        <f>IFERROR(ROUND(PayGapsForMalesInRacialEthnicGroupsByOccupationalSeries[[#This Row],[Black Male Occ Dist]]*PayGapsForMalesInRacialEthnicGroupsByOccupationalSeries[[#This Row],[Black Male % White Male Avg Salary]],7),"")</f>
        <v>1.2153999999999999E-3</v>
      </c>
      <c r="E35" s="29">
        <f>IFERROR(ROUND(PayGapsForMalesInRacialEthnicGroupsByOccupationalSeries[[#This Row],[Hispanic - Latino Male Occ Dist]]*PayGapsForMalesInRacialEthnicGroupsByOccupationalSeries[[#This Row],[Hispanic Latino % White Male Avg Salary]],7),"")</f>
        <v>3.591E-4</v>
      </c>
      <c r="F3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6" spans="1:6" ht="15.6" x14ac:dyDescent="0.3">
      <c r="A36" s="4" t="s">
        <v>47</v>
      </c>
      <c r="B3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7" spans="1:6" ht="15.6" x14ac:dyDescent="0.3">
      <c r="A37" s="4" t="s">
        <v>48</v>
      </c>
      <c r="B3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7" s="29">
        <f>IFERROR(ROUND(PayGapsForMalesInRacialEthnicGroupsByOccupationalSeries[[#This Row],[Black Male Occ Dist]]*PayGapsForMalesInRacialEthnicGroupsByOccupationalSeries[[#This Row],[Black Male % White Male Avg Salary]],7),"")</f>
        <v>1.4863999999999999E-3</v>
      </c>
      <c r="E3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8" spans="1:6" ht="15.6" x14ac:dyDescent="0.3">
      <c r="A38" s="4" t="s">
        <v>49</v>
      </c>
      <c r="B3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8" s="29">
        <f>IFERROR(ROUND(PayGapsForMalesInRacialEthnicGroupsByOccupationalSeries[[#This Row],[Black Male Occ Dist]]*PayGapsForMalesInRacialEthnicGroupsByOccupationalSeries[[#This Row],[Black Male % White Male Avg Salary]],7),"")</f>
        <v>5.7160000000000002E-4</v>
      </c>
      <c r="E3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9" spans="1:6" ht="15.6" x14ac:dyDescent="0.3">
      <c r="A39" s="4" t="s">
        <v>50</v>
      </c>
      <c r="B3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9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40" spans="1:6" ht="15.6" x14ac:dyDescent="0.3">
      <c r="A40" s="4" t="s">
        <v>51</v>
      </c>
      <c r="B40" s="29">
        <f>IFERROR(ROUND(PayGapsForMalesInRacialEthnicGroupsByOccupationalSeries[[#This Row],[AIAN Male Occ Dist]]*PayGapsForMalesInRacialEthnicGroupsByOccupationalSeries[[#This Row],[AIAN Male % White Male Avg Salary]],7),"")</f>
        <v>1.0279E-2</v>
      </c>
      <c r="C40" s="29">
        <f>IFERROR(ROUND(PayGapsForMalesInRacialEthnicGroupsByOccupationalSeries[[#This Row],[ANHPI Male Occ Dist]]*PayGapsForMalesInRacialEthnicGroupsByOccupationalSeries[[#This Row],[ANHPI Male % White Male Avg Salary]],7),"")</f>
        <v>5.9503000000000004E-3</v>
      </c>
      <c r="D40" s="29">
        <f>IFERROR(ROUND(PayGapsForMalesInRacialEthnicGroupsByOccupationalSeries[[#This Row],[Black Male Occ Dist]]*PayGapsForMalesInRacialEthnicGroupsByOccupationalSeries[[#This Row],[Black Male % White Male Avg Salary]],7),"")</f>
        <v>2.2552800000000001E-2</v>
      </c>
      <c r="E40" s="29">
        <f>IFERROR(ROUND(PayGapsForMalesInRacialEthnicGroupsByOccupationalSeries[[#This Row],[Hispanic - Latino Male Occ Dist]]*PayGapsForMalesInRacialEthnicGroupsByOccupationalSeries[[#This Row],[Hispanic Latino % White Male Avg Salary]],7),"")</f>
        <v>9.8548000000000004E-3</v>
      </c>
      <c r="F40" s="81">
        <f>IFERROR(ROUND(PayGapsForMalesInRacialEthnicGroupsByOccupationalSeries[[#This Row],[Other Male Occ Dist]]*PayGapsForMalesInRacialEthnicGroupsByOccupationalSeries[[#This Row],[Other Male % White Male Salary]],7),"")</f>
        <v>1.5603799999999999E-2</v>
      </c>
    </row>
    <row r="41" spans="1:6" ht="15.6" x14ac:dyDescent="0.3">
      <c r="A41" s="4" t="s">
        <v>52</v>
      </c>
      <c r="B41" s="29">
        <f>IFERROR(ROUND(PayGapsForMalesInRacialEthnicGroupsByOccupationalSeries[[#This Row],[AIAN Male Occ Dist]]*PayGapsForMalesInRacialEthnicGroupsByOccupationalSeries[[#This Row],[AIAN Male % White Male Avg Salary]],7),"")</f>
        <v>3.8262000000000001E-3</v>
      </c>
      <c r="C41" s="29">
        <f>IFERROR(ROUND(PayGapsForMalesInRacialEthnicGroupsByOccupationalSeries[[#This Row],[ANHPI Male Occ Dist]]*PayGapsForMalesInRacialEthnicGroupsByOccupationalSeries[[#This Row],[ANHPI Male % White Male Avg Salary]],7),"")</f>
        <v>2.0560000000000001E-3</v>
      </c>
      <c r="D41" s="29">
        <f>IFERROR(ROUND(PayGapsForMalesInRacialEthnicGroupsByOccupationalSeries[[#This Row],[Black Male Occ Dist]]*PayGapsForMalesInRacialEthnicGroupsByOccupationalSeries[[#This Row],[Black Male % White Male Avg Salary]],7),"")</f>
        <v>6.3809000000000001E-3</v>
      </c>
      <c r="E41" s="29">
        <f>IFERROR(ROUND(PayGapsForMalesInRacialEthnicGroupsByOccupationalSeries[[#This Row],[Hispanic - Latino Male Occ Dist]]*PayGapsForMalesInRacialEthnicGroupsByOccupationalSeries[[#This Row],[Hispanic Latino % White Male Avg Salary]],7),"")</f>
        <v>3.5309E-3</v>
      </c>
      <c r="F41" s="81">
        <f>IFERROR(ROUND(PayGapsForMalesInRacialEthnicGroupsByOccupationalSeries[[#This Row],[Other Male Occ Dist]]*PayGapsForMalesInRacialEthnicGroupsByOccupationalSeries[[#This Row],[Other Male % White Male Salary]],7),"")</f>
        <v>3.1031000000000001E-3</v>
      </c>
    </row>
    <row r="42" spans="1:6" ht="15.6" x14ac:dyDescent="0.3">
      <c r="A42" s="4" t="s">
        <v>53</v>
      </c>
      <c r="B4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4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42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4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4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43" spans="1:6" ht="31.2" x14ac:dyDescent="0.3">
      <c r="A43" s="4" t="s">
        <v>54</v>
      </c>
      <c r="B4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4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4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4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4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44" spans="1:6" ht="15.6" x14ac:dyDescent="0.3">
      <c r="A44" s="4" t="s">
        <v>55</v>
      </c>
      <c r="B4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4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44" s="29">
        <f>IFERROR(ROUND(PayGapsForMalesInRacialEthnicGroupsByOccupationalSeries[[#This Row],[Black Male Occ Dist]]*PayGapsForMalesInRacialEthnicGroupsByOccupationalSeries[[#This Row],[Black Male % White Male Avg Salary]],7),"")</f>
        <v>3.9468999999999997E-3</v>
      </c>
      <c r="E44" s="29">
        <f>IFERROR(ROUND(PayGapsForMalesInRacialEthnicGroupsByOccupationalSeries[[#This Row],[Hispanic - Latino Male Occ Dist]]*PayGapsForMalesInRacialEthnicGroupsByOccupationalSeries[[#This Row],[Hispanic Latino % White Male Avg Salary]],7),"")</f>
        <v>1.4335000000000001E-3</v>
      </c>
      <c r="F44" s="81">
        <f>IFERROR(ROUND(PayGapsForMalesInRacialEthnicGroupsByOccupationalSeries[[#This Row],[Other Male Occ Dist]]*PayGapsForMalesInRacialEthnicGroupsByOccupationalSeries[[#This Row],[Other Male % White Male Salary]],7),"")</f>
        <v>1.7538E-3</v>
      </c>
    </row>
    <row r="45" spans="1:6" ht="31.2" x14ac:dyDescent="0.3">
      <c r="A45" s="4" t="s">
        <v>56</v>
      </c>
      <c r="B45" s="29">
        <f>IFERROR(ROUND(PayGapsForMalesInRacialEthnicGroupsByOccupationalSeries[[#This Row],[AIAN Male Occ Dist]]*PayGapsForMalesInRacialEthnicGroupsByOccupationalSeries[[#This Row],[AIAN Male % White Male Avg Salary]],7),"")</f>
        <v>4.4977799999999998E-2</v>
      </c>
      <c r="C45" s="29">
        <f>IFERROR(ROUND(PayGapsForMalesInRacialEthnicGroupsByOccupationalSeries[[#This Row],[ANHPI Male Occ Dist]]*PayGapsForMalesInRacialEthnicGroupsByOccupationalSeries[[#This Row],[ANHPI Male % White Male Avg Salary]],7),"")</f>
        <v>2.8051199999999998E-2</v>
      </c>
      <c r="D45" s="29">
        <f>IFERROR(ROUND(PayGapsForMalesInRacialEthnicGroupsByOccupationalSeries[[#This Row],[Black Male Occ Dist]]*PayGapsForMalesInRacialEthnicGroupsByOccupationalSeries[[#This Row],[Black Male % White Male Avg Salary]],7),"")</f>
        <v>5.1152400000000001E-2</v>
      </c>
      <c r="E45" s="29">
        <f>IFERROR(ROUND(PayGapsForMalesInRacialEthnicGroupsByOccupationalSeries[[#This Row],[Hispanic - Latino Male Occ Dist]]*PayGapsForMalesInRacialEthnicGroupsByOccupationalSeries[[#This Row],[Hispanic Latino % White Male Avg Salary]],7),"")</f>
        <v>3.4376200000000003E-2</v>
      </c>
      <c r="F45" s="81">
        <f>IFERROR(ROUND(PayGapsForMalesInRacialEthnicGroupsByOccupationalSeries[[#This Row],[Other Male Occ Dist]]*PayGapsForMalesInRacialEthnicGroupsByOccupationalSeries[[#This Row],[Other Male % White Male Salary]],7),"")</f>
        <v>4.9354000000000002E-2</v>
      </c>
    </row>
    <row r="46" spans="1:6" ht="31.2" x14ac:dyDescent="0.3">
      <c r="A46" s="4" t="s">
        <v>57</v>
      </c>
      <c r="B46" s="29">
        <f>IFERROR(ROUND(PayGapsForMalesInRacialEthnicGroupsByOccupationalSeries[[#This Row],[AIAN Male Occ Dist]]*PayGapsForMalesInRacialEthnicGroupsByOccupationalSeries[[#This Row],[AIAN Male % White Male Avg Salary]],7),"")</f>
        <v>1.38034E-2</v>
      </c>
      <c r="C46" s="29">
        <f>IFERROR(ROUND(PayGapsForMalesInRacialEthnicGroupsByOccupationalSeries[[#This Row],[ANHPI Male Occ Dist]]*PayGapsForMalesInRacialEthnicGroupsByOccupationalSeries[[#This Row],[ANHPI Male % White Male Avg Salary]],7),"")</f>
        <v>8.1509000000000009E-3</v>
      </c>
      <c r="D46" s="29">
        <f>IFERROR(ROUND(PayGapsForMalesInRacialEthnicGroupsByOccupationalSeries[[#This Row],[Black Male Occ Dist]]*PayGapsForMalesInRacialEthnicGroupsByOccupationalSeries[[#This Row],[Black Male % White Male Avg Salary]],7),"")</f>
        <v>1.9618E-2</v>
      </c>
      <c r="E46" s="29">
        <f>IFERROR(ROUND(PayGapsForMalesInRacialEthnicGroupsByOccupationalSeries[[#This Row],[Hispanic - Latino Male Occ Dist]]*PayGapsForMalesInRacialEthnicGroupsByOccupationalSeries[[#This Row],[Hispanic Latino % White Male Avg Salary]],7),"")</f>
        <v>1.19343E-2</v>
      </c>
      <c r="F46" s="81">
        <f>IFERROR(ROUND(PayGapsForMalesInRacialEthnicGroupsByOccupationalSeries[[#This Row],[Other Male Occ Dist]]*PayGapsForMalesInRacialEthnicGroupsByOccupationalSeries[[#This Row],[Other Male % White Male Salary]],7),"")</f>
        <v>1.11267E-2</v>
      </c>
    </row>
    <row r="47" spans="1:6" ht="15.6" x14ac:dyDescent="0.3">
      <c r="A47" s="4" t="s">
        <v>58</v>
      </c>
      <c r="B4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4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47" s="29">
        <f>IFERROR(ROUND(PayGapsForMalesInRacialEthnicGroupsByOccupationalSeries[[#This Row],[Black Male Occ Dist]]*PayGapsForMalesInRacialEthnicGroupsByOccupationalSeries[[#This Row],[Black Male % White Male Avg Salary]],7),"")</f>
        <v>6.5569999999999995E-4</v>
      </c>
      <c r="E4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4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48" spans="1:6" ht="15.6" x14ac:dyDescent="0.3">
      <c r="A48" s="4" t="s">
        <v>59</v>
      </c>
      <c r="B4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48" s="29">
        <f>IFERROR(ROUND(PayGapsForMalesInRacialEthnicGroupsByOccupationalSeries[[#This Row],[ANHPI Male Occ Dist]]*PayGapsForMalesInRacialEthnicGroupsByOccupationalSeries[[#This Row],[ANHPI Male % White Male Avg Salary]],7),"")</f>
        <v>1.1385E-3</v>
      </c>
      <c r="D48" s="29">
        <f>IFERROR(ROUND(PayGapsForMalesInRacialEthnicGroupsByOccupationalSeries[[#This Row],[Black Male Occ Dist]]*PayGapsForMalesInRacialEthnicGroupsByOccupationalSeries[[#This Row],[Black Male % White Male Avg Salary]],7),"")</f>
        <v>3.7130000000000002E-3</v>
      </c>
      <c r="E48" s="29">
        <f>IFERROR(ROUND(PayGapsForMalesInRacialEthnicGroupsByOccupationalSeries[[#This Row],[Hispanic - Latino Male Occ Dist]]*PayGapsForMalesInRacialEthnicGroupsByOccupationalSeries[[#This Row],[Hispanic Latino % White Male Avg Salary]],7),"")</f>
        <v>1.3709E-3</v>
      </c>
      <c r="F4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49" spans="1:6" ht="15.6" x14ac:dyDescent="0.3">
      <c r="A49" s="4" t="s">
        <v>60</v>
      </c>
      <c r="B4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4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49" s="29">
        <f>IFERROR(ROUND(PayGapsForMalesInRacialEthnicGroupsByOccupationalSeries[[#This Row],[Black Male Occ Dist]]*PayGapsForMalesInRacialEthnicGroupsByOccupationalSeries[[#This Row],[Black Male % White Male Avg Salary]],7),"")</f>
        <v>1.5790000000000001E-3</v>
      </c>
      <c r="E49" s="29">
        <f>IFERROR(ROUND(PayGapsForMalesInRacialEthnicGroupsByOccupationalSeries[[#This Row],[Hispanic - Latino Male Occ Dist]]*PayGapsForMalesInRacialEthnicGroupsByOccupationalSeries[[#This Row],[Hispanic Latino % White Male Avg Salary]],7),"")</f>
        <v>4.3889999999999999E-4</v>
      </c>
      <c r="F4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50" spans="1:6" ht="31.2" x14ac:dyDescent="0.3">
      <c r="A50" s="4" t="s">
        <v>61</v>
      </c>
      <c r="B5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5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50" s="29">
        <f>IFERROR(ROUND(PayGapsForMalesInRacialEthnicGroupsByOccupationalSeries[[#This Row],[Black Male Occ Dist]]*PayGapsForMalesInRacialEthnicGroupsByOccupationalSeries[[#This Row],[Black Male % White Male Avg Salary]],7),"")</f>
        <v>1.1314000000000001E-3</v>
      </c>
      <c r="E5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5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51" spans="1:6" ht="15.6" x14ac:dyDescent="0.3">
      <c r="A51" s="4" t="s">
        <v>62</v>
      </c>
      <c r="B51" s="29">
        <f>IFERROR(ROUND(PayGapsForMalesInRacialEthnicGroupsByOccupationalSeries[[#This Row],[AIAN Male Occ Dist]]*PayGapsForMalesInRacialEthnicGroupsByOccupationalSeries[[#This Row],[AIAN Male % White Male Avg Salary]],7),"")</f>
        <v>1.3297999999999999E-3</v>
      </c>
      <c r="C51" s="29">
        <f>IFERROR(ROUND(PayGapsForMalesInRacialEthnicGroupsByOccupationalSeries[[#This Row],[ANHPI Male Occ Dist]]*PayGapsForMalesInRacialEthnicGroupsByOccupationalSeries[[#This Row],[ANHPI Male % White Male Avg Salary]],7),"")</f>
        <v>6.558E-4</v>
      </c>
      <c r="D51" s="29">
        <f>IFERROR(ROUND(PayGapsForMalesInRacialEthnicGroupsByOccupationalSeries[[#This Row],[Black Male Occ Dist]]*PayGapsForMalesInRacialEthnicGroupsByOccupationalSeries[[#This Row],[Black Male % White Male Avg Salary]],7),"")</f>
        <v>1.5532E-3</v>
      </c>
      <c r="E51" s="29">
        <f>IFERROR(ROUND(PayGapsForMalesInRacialEthnicGroupsByOccupationalSeries[[#This Row],[Hispanic - Latino Male Occ Dist]]*PayGapsForMalesInRacialEthnicGroupsByOccupationalSeries[[#This Row],[Hispanic Latino % White Male Avg Salary]],7),"")</f>
        <v>9.9069999999999996E-4</v>
      </c>
      <c r="F51" s="81">
        <f>IFERROR(ROUND(PayGapsForMalesInRacialEthnicGroupsByOccupationalSeries[[#This Row],[Other Male Occ Dist]]*PayGapsForMalesInRacialEthnicGroupsByOccupationalSeries[[#This Row],[Other Male % White Male Salary]],7),"")</f>
        <v>1.2650000000000001E-3</v>
      </c>
    </row>
    <row r="52" spans="1:6" ht="31.2" x14ac:dyDescent="0.3">
      <c r="A52" s="4" t="s">
        <v>63</v>
      </c>
      <c r="B5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5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52" s="29">
        <f>IFERROR(ROUND(PayGapsForMalesInRacialEthnicGroupsByOccupationalSeries[[#This Row],[Black Male Occ Dist]]*PayGapsForMalesInRacialEthnicGroupsByOccupationalSeries[[#This Row],[Black Male % White Male Avg Salary]],7),"")</f>
        <v>5.7709999999999999E-4</v>
      </c>
      <c r="E52" s="29">
        <f>IFERROR(ROUND(PayGapsForMalesInRacialEthnicGroupsByOccupationalSeries[[#This Row],[Hispanic - Latino Male Occ Dist]]*PayGapsForMalesInRacialEthnicGroupsByOccupationalSeries[[#This Row],[Hispanic Latino % White Male Avg Salary]],7),"")</f>
        <v>4.4010000000000002E-4</v>
      </c>
      <c r="F5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53" spans="1:6" ht="15.6" x14ac:dyDescent="0.3">
      <c r="A53" s="4" t="s">
        <v>64</v>
      </c>
      <c r="B5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5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53" s="29">
        <f>IFERROR(ROUND(PayGapsForMalesInRacialEthnicGroupsByOccupationalSeries[[#This Row],[Black Male Occ Dist]]*PayGapsForMalesInRacialEthnicGroupsByOccupationalSeries[[#This Row],[Black Male % White Male Avg Salary]],7),"")</f>
        <v>1.5277000000000001E-3</v>
      </c>
      <c r="E53" s="29">
        <f>IFERROR(ROUND(PayGapsForMalesInRacialEthnicGroupsByOccupationalSeries[[#This Row],[Hispanic - Latino Male Occ Dist]]*PayGapsForMalesInRacialEthnicGroupsByOccupationalSeries[[#This Row],[Hispanic Latino % White Male Avg Salary]],7),"")</f>
        <v>8.2399999999999997E-4</v>
      </c>
      <c r="F5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54" spans="1:6" ht="15.6" x14ac:dyDescent="0.3">
      <c r="A54" s="4" t="s">
        <v>65</v>
      </c>
      <c r="B54" s="29">
        <f>IFERROR(ROUND(PayGapsForMalesInRacialEthnicGroupsByOccupationalSeries[[#This Row],[AIAN Male Occ Dist]]*PayGapsForMalesInRacialEthnicGroupsByOccupationalSeries[[#This Row],[AIAN Male % White Male Avg Salary]],7),"")</f>
        <v>1.29249E-2</v>
      </c>
      <c r="C54" s="29">
        <f>IFERROR(ROUND(PayGapsForMalesInRacialEthnicGroupsByOccupationalSeries[[#This Row],[ANHPI Male Occ Dist]]*PayGapsForMalesInRacialEthnicGroupsByOccupationalSeries[[#This Row],[ANHPI Male % White Male Avg Salary]],7),"")</f>
        <v>6.4212999999999996E-3</v>
      </c>
      <c r="D54" s="29">
        <f>IFERROR(ROUND(PayGapsForMalesInRacialEthnicGroupsByOccupationalSeries[[#This Row],[Black Male Occ Dist]]*PayGapsForMalesInRacialEthnicGroupsByOccupationalSeries[[#This Row],[Black Male % White Male Avg Salary]],7),"")</f>
        <v>8.0888999999999996E-3</v>
      </c>
      <c r="E54" s="29">
        <f>IFERROR(ROUND(PayGapsForMalesInRacialEthnicGroupsByOccupationalSeries[[#This Row],[Hispanic - Latino Male Occ Dist]]*PayGapsForMalesInRacialEthnicGroupsByOccupationalSeries[[#This Row],[Hispanic Latino % White Male Avg Salary]],7),"")</f>
        <v>6.3375999999999997E-3</v>
      </c>
      <c r="F54" s="81">
        <f>IFERROR(ROUND(PayGapsForMalesInRacialEthnicGroupsByOccupationalSeries[[#This Row],[Other Male Occ Dist]]*PayGapsForMalesInRacialEthnicGroupsByOccupationalSeries[[#This Row],[Other Male % White Male Salary]],7),"")</f>
        <v>8.3344999999999999E-3</v>
      </c>
    </row>
    <row r="55" spans="1:6" ht="15.6" x14ac:dyDescent="0.3">
      <c r="A55" s="4" t="s">
        <v>66</v>
      </c>
      <c r="B55" s="29">
        <f>IFERROR(ROUND(PayGapsForMalesInRacialEthnicGroupsByOccupationalSeries[[#This Row],[AIAN Male Occ Dist]]*PayGapsForMalesInRacialEthnicGroupsByOccupationalSeries[[#This Row],[AIAN Male % White Male Avg Salary]],7),"")</f>
        <v>2.3595000000000001E-3</v>
      </c>
      <c r="C55" s="29">
        <f>IFERROR(ROUND(PayGapsForMalesInRacialEthnicGroupsByOccupationalSeries[[#This Row],[ANHPI Male Occ Dist]]*PayGapsForMalesInRacialEthnicGroupsByOccupationalSeries[[#This Row],[ANHPI Male % White Male Avg Salary]],7),"")</f>
        <v>1.6469E-3</v>
      </c>
      <c r="D55" s="29">
        <f>IFERROR(ROUND(PayGapsForMalesInRacialEthnicGroupsByOccupationalSeries[[#This Row],[Black Male Occ Dist]]*PayGapsForMalesInRacialEthnicGroupsByOccupationalSeries[[#This Row],[Black Male % White Male Avg Salary]],7),"")</f>
        <v>4.3758E-3</v>
      </c>
      <c r="E55" s="29">
        <f>IFERROR(ROUND(PayGapsForMalesInRacialEthnicGroupsByOccupationalSeries[[#This Row],[Hispanic - Latino Male Occ Dist]]*PayGapsForMalesInRacialEthnicGroupsByOccupationalSeries[[#This Row],[Hispanic Latino % White Male Avg Salary]],7),"")</f>
        <v>1.9845000000000002E-3</v>
      </c>
      <c r="F55" s="81">
        <f>IFERROR(ROUND(PayGapsForMalesInRacialEthnicGroupsByOccupationalSeries[[#This Row],[Other Male Occ Dist]]*PayGapsForMalesInRacialEthnicGroupsByOccupationalSeries[[#This Row],[Other Male % White Male Salary]],7),"")</f>
        <v>2.2369999999999998E-3</v>
      </c>
    </row>
    <row r="56" spans="1:6" ht="31.2" x14ac:dyDescent="0.3">
      <c r="A56" s="4" t="s">
        <v>67</v>
      </c>
      <c r="B5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5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56" s="29">
        <f>IFERROR(ROUND(PayGapsForMalesInRacialEthnicGroupsByOccupationalSeries[[#This Row],[Black Male Occ Dist]]*PayGapsForMalesInRacialEthnicGroupsByOccupationalSeries[[#This Row],[Black Male % White Male Avg Salary]],7),"")</f>
        <v>2.6413000000000001E-3</v>
      </c>
      <c r="E56" s="29">
        <f>IFERROR(ROUND(PayGapsForMalesInRacialEthnicGroupsByOccupationalSeries[[#This Row],[Hispanic - Latino Male Occ Dist]]*PayGapsForMalesInRacialEthnicGroupsByOccupationalSeries[[#This Row],[Hispanic Latino % White Male Avg Salary]],7),"")</f>
        <v>9.2659999999999997E-4</v>
      </c>
      <c r="F5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57" spans="1:6" ht="31.2" x14ac:dyDescent="0.3">
      <c r="A57" s="4" t="s">
        <v>68</v>
      </c>
      <c r="B57" s="29">
        <f>IFERROR(ROUND(PayGapsForMalesInRacialEthnicGroupsByOccupationalSeries[[#This Row],[AIAN Male Occ Dist]]*PayGapsForMalesInRacialEthnicGroupsByOccupationalSeries[[#This Row],[AIAN Male % White Male Avg Salary]],7),"")</f>
        <v>2.3610900000000001E-2</v>
      </c>
      <c r="C57" s="29">
        <f>IFERROR(ROUND(PayGapsForMalesInRacialEthnicGroupsByOccupationalSeries[[#This Row],[ANHPI Male Occ Dist]]*PayGapsForMalesInRacialEthnicGroupsByOccupationalSeries[[#This Row],[ANHPI Male % White Male Avg Salary]],7),"")</f>
        <v>2.7876999999999999E-2</v>
      </c>
      <c r="D57" s="29">
        <f>IFERROR(ROUND(PayGapsForMalesInRacialEthnicGroupsByOccupationalSeries[[#This Row],[Black Male Occ Dist]]*PayGapsForMalesInRacialEthnicGroupsByOccupationalSeries[[#This Row],[Black Male % White Male Avg Salary]],7),"")</f>
        <v>4.7517900000000002E-2</v>
      </c>
      <c r="E57" s="29">
        <f>IFERROR(ROUND(PayGapsForMalesInRacialEthnicGroupsByOccupationalSeries[[#This Row],[Hispanic - Latino Male Occ Dist]]*PayGapsForMalesInRacialEthnicGroupsByOccupationalSeries[[#This Row],[Hispanic Latino % White Male Avg Salary]],7),"")</f>
        <v>2.2544999999999999E-2</v>
      </c>
      <c r="F57" s="81">
        <f>IFERROR(ROUND(PayGapsForMalesInRacialEthnicGroupsByOccupationalSeries[[#This Row],[Other Male Occ Dist]]*PayGapsForMalesInRacialEthnicGroupsByOccupationalSeries[[#This Row],[Other Male % White Male Salary]],7),"")</f>
        <v>3.86682E-2</v>
      </c>
    </row>
    <row r="58" spans="1:6" ht="31.2" x14ac:dyDescent="0.3">
      <c r="A58" s="4" t="s">
        <v>69</v>
      </c>
      <c r="B5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58" s="29">
        <f>IFERROR(ROUND(PayGapsForMalesInRacialEthnicGroupsByOccupationalSeries[[#This Row],[ANHPI Male Occ Dist]]*PayGapsForMalesInRacialEthnicGroupsByOccupationalSeries[[#This Row],[ANHPI Male % White Male Avg Salary]],7),"")</f>
        <v>8.2370000000000002E-4</v>
      </c>
      <c r="D58" s="29">
        <f>IFERROR(ROUND(PayGapsForMalesInRacialEthnicGroupsByOccupationalSeries[[#This Row],[Black Male Occ Dist]]*PayGapsForMalesInRacialEthnicGroupsByOccupationalSeries[[#This Row],[Black Male % White Male Avg Salary]],7),"")</f>
        <v>1.4312999999999999E-3</v>
      </c>
      <c r="E58" s="29">
        <f>IFERROR(ROUND(PayGapsForMalesInRacialEthnicGroupsByOccupationalSeries[[#This Row],[Hispanic - Latino Male Occ Dist]]*PayGapsForMalesInRacialEthnicGroupsByOccupationalSeries[[#This Row],[Hispanic Latino % White Male Avg Salary]],7),"")</f>
        <v>1.2279000000000001E-3</v>
      </c>
      <c r="F5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59" spans="1:6" ht="15.6" x14ac:dyDescent="0.3">
      <c r="A59" s="4" t="s">
        <v>70</v>
      </c>
      <c r="B59" s="29">
        <f>IFERROR(ROUND(PayGapsForMalesInRacialEthnicGroupsByOccupationalSeries[[#This Row],[AIAN Male Occ Dist]]*PayGapsForMalesInRacialEthnicGroupsByOccupationalSeries[[#This Row],[AIAN Male % White Male Avg Salary]],7),"")</f>
        <v>1.0256100000000001E-2</v>
      </c>
      <c r="C59" s="29">
        <f>IFERROR(ROUND(PayGapsForMalesInRacialEthnicGroupsByOccupationalSeries[[#This Row],[ANHPI Male Occ Dist]]*PayGapsForMalesInRacialEthnicGroupsByOccupationalSeries[[#This Row],[ANHPI Male % White Male Avg Salary]],7),"")</f>
        <v>8.7864999999999992E-3</v>
      </c>
      <c r="D59" s="29">
        <f>IFERROR(ROUND(PayGapsForMalesInRacialEthnicGroupsByOccupationalSeries[[#This Row],[Black Male Occ Dist]]*PayGapsForMalesInRacialEthnicGroupsByOccupationalSeries[[#This Row],[Black Male % White Male Avg Salary]],7),"")</f>
        <v>2.1056100000000001E-2</v>
      </c>
      <c r="E59" s="29">
        <f>IFERROR(ROUND(PayGapsForMalesInRacialEthnicGroupsByOccupationalSeries[[#This Row],[Hispanic - Latino Male Occ Dist]]*PayGapsForMalesInRacialEthnicGroupsByOccupationalSeries[[#This Row],[Hispanic Latino % White Male Avg Salary]],7),"")</f>
        <v>1.14967E-2</v>
      </c>
      <c r="F59" s="81">
        <f>IFERROR(ROUND(PayGapsForMalesInRacialEthnicGroupsByOccupationalSeries[[#This Row],[Other Male Occ Dist]]*PayGapsForMalesInRacialEthnicGroupsByOccupationalSeries[[#This Row],[Other Male % White Male Salary]],7),"")</f>
        <v>1.6700599999999999E-2</v>
      </c>
    </row>
    <row r="60" spans="1:6" ht="15.6" x14ac:dyDescent="0.3">
      <c r="A60" s="4" t="s">
        <v>71</v>
      </c>
      <c r="B6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6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60" s="29">
        <f>IFERROR(ROUND(PayGapsForMalesInRacialEthnicGroupsByOccupationalSeries[[#This Row],[Black Male Occ Dist]]*PayGapsForMalesInRacialEthnicGroupsByOccupationalSeries[[#This Row],[Black Male % White Male Avg Salary]],7),"")</f>
        <v>1.1099E-3</v>
      </c>
      <c r="E60" s="29">
        <f>IFERROR(ROUND(PayGapsForMalesInRacialEthnicGroupsByOccupationalSeries[[#This Row],[Hispanic - Latino Male Occ Dist]]*PayGapsForMalesInRacialEthnicGroupsByOccupationalSeries[[#This Row],[Hispanic Latino % White Male Avg Salary]],7),"")</f>
        <v>6.4550000000000002E-4</v>
      </c>
      <c r="F6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61" spans="1:6" ht="15.6" x14ac:dyDescent="0.3">
      <c r="A61" s="4" t="s">
        <v>72</v>
      </c>
      <c r="B6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6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61" s="29">
        <f>IFERROR(ROUND(PayGapsForMalesInRacialEthnicGroupsByOccupationalSeries[[#This Row],[Black Male Occ Dist]]*PayGapsForMalesInRacialEthnicGroupsByOccupationalSeries[[#This Row],[Black Male % White Male Avg Salary]],7),"")</f>
        <v>4.8870000000000001E-4</v>
      </c>
      <c r="E6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6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62" spans="1:6" ht="15.6" x14ac:dyDescent="0.3">
      <c r="A62" s="4" t="s">
        <v>73</v>
      </c>
      <c r="B6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62" s="29">
        <f>IFERROR(ROUND(PayGapsForMalesInRacialEthnicGroupsByOccupationalSeries[[#This Row],[ANHPI Male Occ Dist]]*PayGapsForMalesInRacialEthnicGroupsByOccupationalSeries[[#This Row],[ANHPI Male % White Male Avg Salary]],7),"")</f>
        <v>2.7929000000000001E-3</v>
      </c>
      <c r="D62" s="29">
        <f>IFERROR(ROUND(PayGapsForMalesInRacialEthnicGroupsByOccupationalSeries[[#This Row],[Black Male Occ Dist]]*PayGapsForMalesInRacialEthnicGroupsByOccupationalSeries[[#This Row],[Black Male % White Male Avg Salary]],7),"")</f>
        <v>5.1609999999999998E-3</v>
      </c>
      <c r="E62" s="29">
        <f>IFERROR(ROUND(PayGapsForMalesInRacialEthnicGroupsByOccupationalSeries[[#This Row],[Hispanic - Latino Male Occ Dist]]*PayGapsForMalesInRacialEthnicGroupsByOccupationalSeries[[#This Row],[Hispanic Latino % White Male Avg Salary]],7),"")</f>
        <v>3.4478999999999998E-3</v>
      </c>
      <c r="F62" s="81">
        <f>IFERROR(ROUND(PayGapsForMalesInRacialEthnicGroupsByOccupationalSeries[[#This Row],[Other Male Occ Dist]]*PayGapsForMalesInRacialEthnicGroupsByOccupationalSeries[[#This Row],[Other Male % White Male Salary]],7),"")</f>
        <v>5.8843000000000003E-3</v>
      </c>
    </row>
    <row r="63" spans="1:6" ht="15.6" x14ac:dyDescent="0.3">
      <c r="A63" s="4" t="s">
        <v>74</v>
      </c>
      <c r="B6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6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6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6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6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64" spans="1:6" ht="31.2" x14ac:dyDescent="0.3">
      <c r="A64" s="4" t="s">
        <v>75</v>
      </c>
      <c r="B6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6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6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6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6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65" spans="1:6" ht="31.2" x14ac:dyDescent="0.3">
      <c r="A65" s="4" t="s">
        <v>76</v>
      </c>
      <c r="B65" s="29">
        <f>IFERROR(ROUND(PayGapsForMalesInRacialEthnicGroupsByOccupationalSeries[[#This Row],[AIAN Male Occ Dist]]*PayGapsForMalesInRacialEthnicGroupsByOccupationalSeries[[#This Row],[AIAN Male % White Male Avg Salary]],7),"")</f>
        <v>1.56776E-2</v>
      </c>
      <c r="C65" s="29">
        <f>IFERROR(ROUND(PayGapsForMalesInRacialEthnicGroupsByOccupationalSeries[[#This Row],[ANHPI Male Occ Dist]]*PayGapsForMalesInRacialEthnicGroupsByOccupationalSeries[[#This Row],[ANHPI Male % White Male Avg Salary]],7),"")</f>
        <v>1.6390800000000001E-2</v>
      </c>
      <c r="D65" s="29">
        <f>IFERROR(ROUND(PayGapsForMalesInRacialEthnicGroupsByOccupationalSeries[[#This Row],[Black Male Occ Dist]]*PayGapsForMalesInRacialEthnicGroupsByOccupationalSeries[[#This Row],[Black Male % White Male Avg Salary]],7),"")</f>
        <v>3.5815999999999999E-3</v>
      </c>
      <c r="E65" s="29">
        <f>IFERROR(ROUND(PayGapsForMalesInRacialEthnicGroupsByOccupationalSeries[[#This Row],[Hispanic - Latino Male Occ Dist]]*PayGapsForMalesInRacialEthnicGroupsByOccupationalSeries[[#This Row],[Hispanic Latino % White Male Avg Salary]],7),"")</f>
        <v>1.00223E-2</v>
      </c>
      <c r="F65" s="81">
        <f>IFERROR(ROUND(PayGapsForMalesInRacialEthnicGroupsByOccupationalSeries[[#This Row],[Other Male Occ Dist]]*PayGapsForMalesInRacialEthnicGroupsByOccupationalSeries[[#This Row],[Other Male % White Male Salary]],7),"")</f>
        <v>9.5476999999999992E-3</v>
      </c>
    </row>
    <row r="66" spans="1:6" ht="15.6" x14ac:dyDescent="0.3">
      <c r="A66" s="4" t="s">
        <v>77</v>
      </c>
      <c r="B6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66" s="29">
        <f>IFERROR(ROUND(PayGapsForMalesInRacialEthnicGroupsByOccupationalSeries[[#This Row],[ANHPI Male Occ Dist]]*PayGapsForMalesInRacialEthnicGroupsByOccupationalSeries[[#This Row],[ANHPI Male % White Male Avg Salary]],7),"")</f>
        <v>2.1684E-3</v>
      </c>
      <c r="D66" s="29">
        <f>IFERROR(ROUND(PayGapsForMalesInRacialEthnicGroupsByOccupationalSeries[[#This Row],[Black Male Occ Dist]]*PayGapsForMalesInRacialEthnicGroupsByOccupationalSeries[[#This Row],[Black Male % White Male Avg Salary]],7),"")</f>
        <v>4.0299999999999998E-4</v>
      </c>
      <c r="E66" s="29">
        <f>IFERROR(ROUND(PayGapsForMalesInRacialEthnicGroupsByOccupationalSeries[[#This Row],[Hispanic - Latino Male Occ Dist]]*PayGapsForMalesInRacialEthnicGroupsByOccupationalSeries[[#This Row],[Hispanic Latino % White Male Avg Salary]],7),"")</f>
        <v>3.9389999999999998E-4</v>
      </c>
      <c r="F6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67" spans="1:6" ht="15.6" x14ac:dyDescent="0.3">
      <c r="A67" s="4" t="s">
        <v>78</v>
      </c>
      <c r="B6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67" s="29">
        <f>IFERROR(ROUND(PayGapsForMalesInRacialEthnicGroupsByOccupationalSeries[[#This Row],[ANHPI Male Occ Dist]]*PayGapsForMalesInRacialEthnicGroupsByOccupationalSeries[[#This Row],[ANHPI Male % White Male Avg Salary]],7),"")</f>
        <v>9.9160000000000003E-4</v>
      </c>
      <c r="D67" s="29">
        <f>IFERROR(ROUND(PayGapsForMalesInRacialEthnicGroupsByOccupationalSeries[[#This Row],[Black Male Occ Dist]]*PayGapsForMalesInRacialEthnicGroupsByOccupationalSeries[[#This Row],[Black Male % White Male Avg Salary]],7),"")</f>
        <v>7.3220000000000002E-4</v>
      </c>
      <c r="E67" s="29">
        <f>IFERROR(ROUND(PayGapsForMalesInRacialEthnicGroupsByOccupationalSeries[[#This Row],[Hispanic - Latino Male Occ Dist]]*PayGapsForMalesInRacialEthnicGroupsByOccupationalSeries[[#This Row],[Hispanic Latino % White Male Avg Salary]],7),"")</f>
        <v>6.6469999999999995E-4</v>
      </c>
      <c r="F6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68" spans="1:6" ht="15.6" x14ac:dyDescent="0.3">
      <c r="A68" s="4" t="s">
        <v>79</v>
      </c>
      <c r="B6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68" s="29">
        <f>IFERROR(ROUND(PayGapsForMalesInRacialEthnicGroupsByOccupationalSeries[[#This Row],[ANHPI Male Occ Dist]]*PayGapsForMalesInRacialEthnicGroupsByOccupationalSeries[[#This Row],[ANHPI Male % White Male Avg Salary]],7),"")</f>
        <v>1.5897999999999999E-3</v>
      </c>
      <c r="D68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6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6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69" spans="1:6" ht="15.6" x14ac:dyDescent="0.3">
      <c r="A69" s="4" t="s">
        <v>80</v>
      </c>
      <c r="B6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6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69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6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6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70" spans="1:6" ht="15.6" x14ac:dyDescent="0.3">
      <c r="A70" s="4" t="s">
        <v>81</v>
      </c>
      <c r="B7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7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70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7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7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71" spans="1:6" ht="15.6" x14ac:dyDescent="0.3">
      <c r="A71" s="4" t="s">
        <v>82</v>
      </c>
      <c r="B7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7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71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7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7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72" spans="1:6" ht="15.6" x14ac:dyDescent="0.3">
      <c r="A72" s="4" t="s">
        <v>83</v>
      </c>
      <c r="B7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7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72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7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7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73" spans="1:6" ht="15.6" x14ac:dyDescent="0.3">
      <c r="A73" s="4" t="s">
        <v>84</v>
      </c>
      <c r="B7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7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7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7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7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74" spans="1:6" ht="15.6" x14ac:dyDescent="0.3">
      <c r="A74" s="4" t="s">
        <v>85</v>
      </c>
      <c r="B7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7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7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7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7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75" spans="1:6" ht="15.6" x14ac:dyDescent="0.3">
      <c r="A75" s="4" t="s">
        <v>86</v>
      </c>
      <c r="B7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7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7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7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7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76" spans="1:6" ht="15.6" x14ac:dyDescent="0.3">
      <c r="A76" s="4" t="s">
        <v>87</v>
      </c>
      <c r="B7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7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7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7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7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77" spans="1:6" ht="15.6" x14ac:dyDescent="0.3">
      <c r="A77" s="4" t="s">
        <v>88</v>
      </c>
      <c r="B7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7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77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7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7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78" spans="1:6" ht="15.6" x14ac:dyDescent="0.3">
      <c r="A78" s="4" t="s">
        <v>89</v>
      </c>
      <c r="B7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7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78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7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7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79" spans="1:6" ht="15.6" x14ac:dyDescent="0.3">
      <c r="A79" s="4" t="s">
        <v>90</v>
      </c>
      <c r="B7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7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79" s="29">
        <f>IFERROR(ROUND(PayGapsForMalesInRacialEthnicGroupsByOccupationalSeries[[#This Row],[Black Male Occ Dist]]*PayGapsForMalesInRacialEthnicGroupsByOccupationalSeries[[#This Row],[Black Male % White Male Avg Salary]],7),"")</f>
        <v>1.7417000000000001E-3</v>
      </c>
      <c r="E79" s="29">
        <f>IFERROR(ROUND(PayGapsForMalesInRacialEthnicGroupsByOccupationalSeries[[#This Row],[Hispanic - Latino Male Occ Dist]]*PayGapsForMalesInRacialEthnicGroupsByOccupationalSeries[[#This Row],[Hispanic Latino % White Male Avg Salary]],7),"")</f>
        <v>1.7841000000000001E-3</v>
      </c>
      <c r="F79" s="81">
        <f>IFERROR(ROUND(PayGapsForMalesInRacialEthnicGroupsByOccupationalSeries[[#This Row],[Other Male Occ Dist]]*PayGapsForMalesInRacialEthnicGroupsByOccupationalSeries[[#This Row],[Other Male % White Male Salary]],7),"")</f>
        <v>2.8781000000000002E-3</v>
      </c>
    </row>
    <row r="80" spans="1:6" ht="15.6" x14ac:dyDescent="0.3">
      <c r="A80" s="4" t="s">
        <v>91</v>
      </c>
      <c r="B8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8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80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8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8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81" spans="1:6" ht="15.6" x14ac:dyDescent="0.3">
      <c r="A81" s="4" t="s">
        <v>92</v>
      </c>
      <c r="B8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8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81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8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8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82" spans="1:6" ht="15.6" x14ac:dyDescent="0.3">
      <c r="A82" s="4" t="s">
        <v>93</v>
      </c>
      <c r="B82" s="29">
        <f>IFERROR(ROUND(PayGapsForMalesInRacialEthnicGroupsByOccupationalSeries[[#This Row],[AIAN Male Occ Dist]]*PayGapsForMalesInRacialEthnicGroupsByOccupationalSeries[[#This Row],[AIAN Male % White Male Avg Salary]],7),"")</f>
        <v>3.0026400000000002E-2</v>
      </c>
      <c r="C8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82" s="29">
        <f>IFERROR(ROUND(PayGapsForMalesInRacialEthnicGroupsByOccupationalSeries[[#This Row],[Black Male Occ Dist]]*PayGapsForMalesInRacialEthnicGroupsByOccupationalSeries[[#This Row],[Black Male % White Male Avg Salary]],7),"")</f>
        <v>9.299E-4</v>
      </c>
      <c r="E82" s="29">
        <f>IFERROR(ROUND(PayGapsForMalesInRacialEthnicGroupsByOccupationalSeries[[#This Row],[Hispanic - Latino Male Occ Dist]]*PayGapsForMalesInRacialEthnicGroupsByOccupationalSeries[[#This Row],[Hispanic Latino % White Male Avg Salary]],7),"")</f>
        <v>9.2984000000000001E-3</v>
      </c>
      <c r="F82" s="81">
        <f>IFERROR(ROUND(PayGapsForMalesInRacialEthnicGroupsByOccupationalSeries[[#This Row],[Other Male Occ Dist]]*PayGapsForMalesInRacialEthnicGroupsByOccupationalSeries[[#This Row],[Other Male % White Male Salary]],7),"")</f>
        <v>1.0039899999999999E-2</v>
      </c>
    </row>
    <row r="83" spans="1:6" ht="15.6" x14ac:dyDescent="0.3">
      <c r="A83" s="4" t="s">
        <v>94</v>
      </c>
      <c r="B8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8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8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8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8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84" spans="1:6" ht="15.6" x14ac:dyDescent="0.3">
      <c r="A84" s="4" t="s">
        <v>95</v>
      </c>
      <c r="B8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8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8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8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8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85" spans="1:6" ht="15.6" x14ac:dyDescent="0.3">
      <c r="A85" s="4" t="s">
        <v>96</v>
      </c>
      <c r="B8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8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8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8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8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86" spans="1:6" ht="15.6" x14ac:dyDescent="0.3">
      <c r="A86" s="4" t="s">
        <v>97</v>
      </c>
      <c r="B8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8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8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8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8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87" spans="1:6" ht="15.6" x14ac:dyDescent="0.3">
      <c r="A87" s="4" t="s">
        <v>98</v>
      </c>
      <c r="B8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8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87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8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8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88" spans="1:6" ht="15.6" x14ac:dyDescent="0.3">
      <c r="A88" s="4" t="s">
        <v>99</v>
      </c>
      <c r="B8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8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88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88" s="29">
        <f>IFERROR(ROUND(PayGapsForMalesInRacialEthnicGroupsByOccupationalSeries[[#This Row],[Hispanic - Latino Male Occ Dist]]*PayGapsForMalesInRacialEthnicGroupsByOccupationalSeries[[#This Row],[Hispanic Latino % White Male Avg Salary]],7),"")</f>
        <v>7.2729999999999995E-4</v>
      </c>
      <c r="F8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89" spans="1:6" ht="31.2" x14ac:dyDescent="0.3">
      <c r="A89" s="4" t="s">
        <v>325</v>
      </c>
      <c r="B8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8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89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8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8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90" spans="1:6" ht="31.2" x14ac:dyDescent="0.3">
      <c r="A90" s="4" t="s">
        <v>100</v>
      </c>
      <c r="B90" s="29">
        <f>IFERROR(ROUND(PayGapsForMalesInRacialEthnicGroupsByOccupationalSeries[[#This Row],[AIAN Male Occ Dist]]*PayGapsForMalesInRacialEthnicGroupsByOccupationalSeries[[#This Row],[AIAN Male % White Male Avg Salary]],7),"")</f>
        <v>7.5852000000000003E-3</v>
      </c>
      <c r="C90" s="29">
        <f>IFERROR(ROUND(PayGapsForMalesInRacialEthnicGroupsByOccupationalSeries[[#This Row],[ANHPI Male Occ Dist]]*PayGapsForMalesInRacialEthnicGroupsByOccupationalSeries[[#This Row],[ANHPI Male % White Male Avg Salary]],7),"")</f>
        <v>1.1053199999999999E-2</v>
      </c>
      <c r="D90" s="29">
        <f>IFERROR(ROUND(PayGapsForMalesInRacialEthnicGroupsByOccupationalSeries[[#This Row],[Black Male Occ Dist]]*PayGapsForMalesInRacialEthnicGroupsByOccupationalSeries[[#This Row],[Black Male % White Male Avg Salary]],7),"")</f>
        <v>1.4847000000000001E-2</v>
      </c>
      <c r="E90" s="29">
        <f>IFERROR(ROUND(PayGapsForMalesInRacialEthnicGroupsByOccupationalSeries[[#This Row],[Hispanic - Latino Male Occ Dist]]*PayGapsForMalesInRacialEthnicGroupsByOccupationalSeries[[#This Row],[Hispanic Latino % White Male Avg Salary]],7),"")</f>
        <v>7.9755999999999994E-3</v>
      </c>
      <c r="F90" s="81">
        <f>IFERROR(ROUND(PayGapsForMalesInRacialEthnicGroupsByOccupationalSeries[[#This Row],[Other Male Occ Dist]]*PayGapsForMalesInRacialEthnicGroupsByOccupationalSeries[[#This Row],[Other Male % White Male Salary]],7),"")</f>
        <v>1.13224E-2</v>
      </c>
    </row>
    <row r="91" spans="1:6" ht="31.2" x14ac:dyDescent="0.3">
      <c r="A91" s="4" t="s">
        <v>101</v>
      </c>
      <c r="B91" s="29">
        <f>IFERROR(ROUND(PayGapsForMalesInRacialEthnicGroupsByOccupationalSeries[[#This Row],[AIAN Male Occ Dist]]*PayGapsForMalesInRacialEthnicGroupsByOccupationalSeries[[#This Row],[AIAN Male % White Male Avg Salary]],7),"")</f>
        <v>3.0458E-3</v>
      </c>
      <c r="C91" s="29">
        <f>IFERROR(ROUND(PayGapsForMalesInRacialEthnicGroupsByOccupationalSeries[[#This Row],[ANHPI Male Occ Dist]]*PayGapsForMalesInRacialEthnicGroupsByOccupationalSeries[[#This Row],[ANHPI Male % White Male Avg Salary]],7),"")</f>
        <v>1.9808E-3</v>
      </c>
      <c r="D91" s="29">
        <f>IFERROR(ROUND(PayGapsForMalesInRacialEthnicGroupsByOccupationalSeries[[#This Row],[Black Male Occ Dist]]*PayGapsForMalesInRacialEthnicGroupsByOccupationalSeries[[#This Row],[Black Male % White Male Avg Salary]],7),"")</f>
        <v>2.5880999999999999E-3</v>
      </c>
      <c r="E91" s="29">
        <f>IFERROR(ROUND(PayGapsForMalesInRacialEthnicGroupsByOccupationalSeries[[#This Row],[Hispanic - Latino Male Occ Dist]]*PayGapsForMalesInRacialEthnicGroupsByOccupationalSeries[[#This Row],[Hispanic Latino % White Male Avg Salary]],7),"")</f>
        <v>1.8513E-3</v>
      </c>
      <c r="F91" s="81">
        <f>IFERROR(ROUND(PayGapsForMalesInRacialEthnicGroupsByOccupationalSeries[[#This Row],[Other Male Occ Dist]]*PayGapsForMalesInRacialEthnicGroupsByOccupationalSeries[[#This Row],[Other Male % White Male Salary]],7),"")</f>
        <v>1.3304E-3</v>
      </c>
    </row>
    <row r="92" spans="1:6" ht="15.6" x14ac:dyDescent="0.3">
      <c r="A92" s="4" t="s">
        <v>102</v>
      </c>
      <c r="B9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9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92" s="29">
        <f>IFERROR(ROUND(PayGapsForMalesInRacialEthnicGroupsByOccupationalSeries[[#This Row],[Black Male Occ Dist]]*PayGapsForMalesInRacialEthnicGroupsByOccupationalSeries[[#This Row],[Black Male % White Male Avg Salary]],7),"")</f>
        <v>6.8159999999999998E-4</v>
      </c>
      <c r="E9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9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93" spans="1:6" ht="15.6" x14ac:dyDescent="0.3">
      <c r="A93" s="4" t="s">
        <v>103</v>
      </c>
      <c r="B93" s="29">
        <f>IFERROR(ROUND(PayGapsForMalesInRacialEthnicGroupsByOccupationalSeries[[#This Row],[AIAN Male Occ Dist]]*PayGapsForMalesInRacialEthnicGroupsByOccupationalSeries[[#This Row],[AIAN Male % White Male Avg Salary]],7),"")</f>
        <v>4.4841999999999998E-3</v>
      </c>
      <c r="C93" s="29">
        <f>IFERROR(ROUND(PayGapsForMalesInRacialEthnicGroupsByOccupationalSeries[[#This Row],[ANHPI Male Occ Dist]]*PayGapsForMalesInRacialEthnicGroupsByOccupationalSeries[[#This Row],[ANHPI Male % White Male Avg Salary]],7),"")</f>
        <v>6.8088000000000003E-3</v>
      </c>
      <c r="D93" s="29">
        <f>IFERROR(ROUND(PayGapsForMalesInRacialEthnicGroupsByOccupationalSeries[[#This Row],[Black Male Occ Dist]]*PayGapsForMalesInRacialEthnicGroupsByOccupationalSeries[[#This Row],[Black Male % White Male Avg Salary]],7),"")</f>
        <v>6.8494000000000003E-3</v>
      </c>
      <c r="E93" s="29">
        <f>IFERROR(ROUND(PayGapsForMalesInRacialEthnicGroupsByOccupationalSeries[[#This Row],[Hispanic - Latino Male Occ Dist]]*PayGapsForMalesInRacialEthnicGroupsByOccupationalSeries[[#This Row],[Hispanic Latino % White Male Avg Salary]],7),"")</f>
        <v>3.1356000000000001E-3</v>
      </c>
      <c r="F93" s="81">
        <f>IFERROR(ROUND(PayGapsForMalesInRacialEthnicGroupsByOccupationalSeries[[#This Row],[Other Male Occ Dist]]*PayGapsForMalesInRacialEthnicGroupsByOccupationalSeries[[#This Row],[Other Male % White Male Salary]],7),"")</f>
        <v>4.4958000000000003E-3</v>
      </c>
    </row>
    <row r="94" spans="1:6" ht="15.6" x14ac:dyDescent="0.3">
      <c r="A94" s="4" t="s">
        <v>104</v>
      </c>
      <c r="B9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94" s="29">
        <f>IFERROR(ROUND(PayGapsForMalesInRacialEthnicGroupsByOccupationalSeries[[#This Row],[ANHPI Male Occ Dist]]*PayGapsForMalesInRacialEthnicGroupsByOccupationalSeries[[#This Row],[ANHPI Male % White Male Avg Salary]],7),"")</f>
        <v>6.8694999999999997E-3</v>
      </c>
      <c r="D94" s="29">
        <f>IFERROR(ROUND(PayGapsForMalesInRacialEthnicGroupsByOccupationalSeries[[#This Row],[Black Male Occ Dist]]*PayGapsForMalesInRacialEthnicGroupsByOccupationalSeries[[#This Row],[Black Male % White Male Avg Salary]],7),"")</f>
        <v>5.4945000000000003E-3</v>
      </c>
      <c r="E94" s="29">
        <f>IFERROR(ROUND(PayGapsForMalesInRacialEthnicGroupsByOccupationalSeries[[#This Row],[Hispanic - Latino Male Occ Dist]]*PayGapsForMalesInRacialEthnicGroupsByOccupationalSeries[[#This Row],[Hispanic Latino % White Male Avg Salary]],7),"")</f>
        <v>4.8802999999999997E-3</v>
      </c>
      <c r="F94" s="81">
        <f>IFERROR(ROUND(PayGapsForMalesInRacialEthnicGroupsByOccupationalSeries[[#This Row],[Other Male Occ Dist]]*PayGapsForMalesInRacialEthnicGroupsByOccupationalSeries[[#This Row],[Other Male % White Male Salary]],7),"")</f>
        <v>4.6727000000000001E-3</v>
      </c>
    </row>
    <row r="95" spans="1:6" ht="15.6" x14ac:dyDescent="0.3">
      <c r="A95" s="4" t="s">
        <v>105</v>
      </c>
      <c r="B9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95" s="29">
        <f>IFERROR(ROUND(PayGapsForMalesInRacialEthnicGroupsByOccupationalSeries[[#This Row],[ANHPI Male Occ Dist]]*PayGapsForMalesInRacialEthnicGroupsByOccupationalSeries[[#This Row],[ANHPI Male % White Male Avg Salary]],7),"")</f>
        <v>7.9083000000000001E-3</v>
      </c>
      <c r="D95" s="29">
        <f>IFERROR(ROUND(PayGapsForMalesInRacialEthnicGroupsByOccupationalSeries[[#This Row],[Black Male Occ Dist]]*PayGapsForMalesInRacialEthnicGroupsByOccupationalSeries[[#This Row],[Black Male % White Male Avg Salary]],7),"")</f>
        <v>3.2755000000000002E-3</v>
      </c>
      <c r="E95" s="29">
        <f>IFERROR(ROUND(PayGapsForMalesInRacialEthnicGroupsByOccupationalSeries[[#This Row],[Hispanic - Latino Male Occ Dist]]*PayGapsForMalesInRacialEthnicGroupsByOccupationalSeries[[#This Row],[Hispanic Latino % White Male Avg Salary]],7),"")</f>
        <v>3.4730999999999998E-3</v>
      </c>
      <c r="F9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96" spans="1:6" ht="15.6" x14ac:dyDescent="0.3">
      <c r="A96" s="4" t="s">
        <v>106</v>
      </c>
      <c r="B96" s="29">
        <f>IFERROR(ROUND(PayGapsForMalesInRacialEthnicGroupsByOccupationalSeries[[#This Row],[AIAN Male Occ Dist]]*PayGapsForMalesInRacialEthnicGroupsByOccupationalSeries[[#This Row],[AIAN Male % White Male Avg Salary]],7),"")</f>
        <v>4.7821000000000001E-3</v>
      </c>
      <c r="C96" s="29">
        <f>IFERROR(ROUND(PayGapsForMalesInRacialEthnicGroupsByOccupationalSeries[[#This Row],[ANHPI Male Occ Dist]]*PayGapsForMalesInRacialEthnicGroupsByOccupationalSeries[[#This Row],[ANHPI Male % White Male Avg Salary]],7),"")</f>
        <v>8.2640000000000003E-4</v>
      </c>
      <c r="D96" s="29">
        <f>IFERROR(ROUND(PayGapsForMalesInRacialEthnicGroupsByOccupationalSeries[[#This Row],[Black Male Occ Dist]]*PayGapsForMalesInRacialEthnicGroupsByOccupationalSeries[[#This Row],[Black Male % White Male Avg Salary]],7),"")</f>
        <v>2.2837000000000001E-3</v>
      </c>
      <c r="E96" s="29">
        <f>IFERROR(ROUND(PayGapsForMalesInRacialEthnicGroupsByOccupationalSeries[[#This Row],[Hispanic - Latino Male Occ Dist]]*PayGapsForMalesInRacialEthnicGroupsByOccupationalSeries[[#This Row],[Hispanic Latino % White Male Avg Salary]],7),"")</f>
        <v>8.5329999999999998E-4</v>
      </c>
      <c r="F9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97" spans="1:6" ht="15.6" x14ac:dyDescent="0.3">
      <c r="A97" s="4" t="s">
        <v>107</v>
      </c>
      <c r="B9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9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97" s="29">
        <f>IFERROR(ROUND(PayGapsForMalesInRacialEthnicGroupsByOccupationalSeries[[#This Row],[Black Male Occ Dist]]*PayGapsForMalesInRacialEthnicGroupsByOccupationalSeries[[#This Row],[Black Male % White Male Avg Salary]],7),"")</f>
        <v>3.2360000000000001E-4</v>
      </c>
      <c r="E97" s="29">
        <f>IFERROR(ROUND(PayGapsForMalesInRacialEthnicGroupsByOccupationalSeries[[#This Row],[Hispanic - Latino Male Occ Dist]]*PayGapsForMalesInRacialEthnicGroupsByOccupationalSeries[[#This Row],[Hispanic Latino % White Male Avg Salary]],7),"")</f>
        <v>3.4610000000000001E-4</v>
      </c>
      <c r="F9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98" spans="1:6" ht="15.6" x14ac:dyDescent="0.3">
      <c r="A98" s="4" t="s">
        <v>108</v>
      </c>
      <c r="B9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9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98" s="29">
        <f>IFERROR(ROUND(PayGapsForMalesInRacialEthnicGroupsByOccupationalSeries[[#This Row],[Black Male Occ Dist]]*PayGapsForMalesInRacialEthnicGroupsByOccupationalSeries[[#This Row],[Black Male % White Male Avg Salary]],7),"")</f>
        <v>1.6210000000000001E-4</v>
      </c>
      <c r="E9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9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99" spans="1:6" ht="15.6" x14ac:dyDescent="0.3">
      <c r="A99" s="4" t="s">
        <v>109</v>
      </c>
      <c r="B9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9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99" s="29">
        <f>IFERROR(ROUND(PayGapsForMalesInRacialEthnicGroupsByOccupationalSeries[[#This Row],[Black Male Occ Dist]]*PayGapsForMalesInRacialEthnicGroupsByOccupationalSeries[[#This Row],[Black Male % White Male Avg Salary]],7),"")</f>
        <v>6.1939999999999999E-4</v>
      </c>
      <c r="E9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9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00" spans="1:6" ht="15.6" x14ac:dyDescent="0.3">
      <c r="A100" s="4" t="s">
        <v>110</v>
      </c>
      <c r="B10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0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00" s="29">
        <f>IFERROR(ROUND(PayGapsForMalesInRacialEthnicGroupsByOccupationalSeries[[#This Row],[Black Male Occ Dist]]*PayGapsForMalesInRacialEthnicGroupsByOccupationalSeries[[#This Row],[Black Male % White Male Avg Salary]],7),"")</f>
        <v>6.4999999999999997E-4</v>
      </c>
      <c r="E100" s="29">
        <f>IFERROR(ROUND(PayGapsForMalesInRacialEthnicGroupsByOccupationalSeries[[#This Row],[Hispanic - Latino Male Occ Dist]]*PayGapsForMalesInRacialEthnicGroupsByOccupationalSeries[[#This Row],[Hispanic Latino % White Male Avg Salary]],7),"")</f>
        <v>2.9559999999999998E-4</v>
      </c>
      <c r="F10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01" spans="1:6" ht="15.6" x14ac:dyDescent="0.3">
      <c r="A101" s="4" t="s">
        <v>111</v>
      </c>
      <c r="B10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0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01" s="29">
        <f>IFERROR(ROUND(PayGapsForMalesInRacialEthnicGroupsByOccupationalSeries[[#This Row],[Black Male Occ Dist]]*PayGapsForMalesInRacialEthnicGroupsByOccupationalSeries[[#This Row],[Black Male % White Male Avg Salary]],7),"")</f>
        <v>1.0149E-3</v>
      </c>
      <c r="E101" s="29">
        <f>IFERROR(ROUND(PayGapsForMalesInRacialEthnicGroupsByOccupationalSeries[[#This Row],[Hispanic - Latino Male Occ Dist]]*PayGapsForMalesInRacialEthnicGroupsByOccupationalSeries[[#This Row],[Hispanic Latino % White Male Avg Salary]],7),"")</f>
        <v>3.2880000000000002E-4</v>
      </c>
      <c r="F10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02" spans="1:6" ht="15.6" x14ac:dyDescent="0.3">
      <c r="A102" s="4" t="s">
        <v>112</v>
      </c>
      <c r="B102" s="29">
        <f>IFERROR(ROUND(PayGapsForMalesInRacialEthnicGroupsByOccupationalSeries[[#This Row],[AIAN Male Occ Dist]]*PayGapsForMalesInRacialEthnicGroupsByOccupationalSeries[[#This Row],[AIAN Male % White Male Avg Salary]],7),"")</f>
        <v>5.3315000000000003E-3</v>
      </c>
      <c r="C102" s="29">
        <f>IFERROR(ROUND(PayGapsForMalesInRacialEthnicGroupsByOccupationalSeries[[#This Row],[ANHPI Male Occ Dist]]*PayGapsForMalesInRacialEthnicGroupsByOccupationalSeries[[#This Row],[ANHPI Male % White Male Avg Salary]],7),"")</f>
        <v>5.3524999999999996E-3</v>
      </c>
      <c r="D102" s="29">
        <f>IFERROR(ROUND(PayGapsForMalesInRacialEthnicGroupsByOccupationalSeries[[#This Row],[Black Male Occ Dist]]*PayGapsForMalesInRacialEthnicGroupsByOccupationalSeries[[#This Row],[Black Male % White Male Avg Salary]],7),"")</f>
        <v>7.6496999999999997E-3</v>
      </c>
      <c r="E102" s="29">
        <f>IFERROR(ROUND(PayGapsForMalesInRacialEthnicGroupsByOccupationalSeries[[#This Row],[Hispanic - Latino Male Occ Dist]]*PayGapsForMalesInRacialEthnicGroupsByOccupationalSeries[[#This Row],[Hispanic Latino % White Male Avg Salary]],7),"")</f>
        <v>3.7670999999999998E-3</v>
      </c>
      <c r="F102" s="81">
        <f>IFERROR(ROUND(PayGapsForMalesInRacialEthnicGroupsByOccupationalSeries[[#This Row],[Other Male Occ Dist]]*PayGapsForMalesInRacialEthnicGroupsByOccupationalSeries[[#This Row],[Other Male % White Male Salary]],7),"")</f>
        <v>6.9553999999999996E-3</v>
      </c>
    </row>
    <row r="103" spans="1:6" ht="15.6" x14ac:dyDescent="0.3">
      <c r="A103" s="4" t="s">
        <v>113</v>
      </c>
      <c r="B10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0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03" s="29">
        <f>IFERROR(ROUND(PayGapsForMalesInRacialEthnicGroupsByOccupationalSeries[[#This Row],[Black Male Occ Dist]]*PayGapsForMalesInRacialEthnicGroupsByOccupationalSeries[[#This Row],[Black Male % White Male Avg Salary]],7),"")</f>
        <v>2.7339999999999998E-4</v>
      </c>
      <c r="E10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0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04" spans="1:6" ht="15.6" x14ac:dyDescent="0.3">
      <c r="A104" s="4" t="s">
        <v>114</v>
      </c>
      <c r="B10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04" s="29">
        <f>IFERROR(ROUND(PayGapsForMalesInRacialEthnicGroupsByOccupationalSeries[[#This Row],[ANHPI Male Occ Dist]]*PayGapsForMalesInRacialEthnicGroupsByOccupationalSeries[[#This Row],[ANHPI Male % White Male Avg Salary]],7),"")</f>
        <v>3.2875999999999999E-3</v>
      </c>
      <c r="D104" s="29">
        <f>IFERROR(ROUND(PayGapsForMalesInRacialEthnicGroupsByOccupationalSeries[[#This Row],[Black Male Occ Dist]]*PayGapsForMalesInRacialEthnicGroupsByOccupationalSeries[[#This Row],[Black Male % White Male Avg Salary]],7),"")</f>
        <v>2.3080000000000002E-3</v>
      </c>
      <c r="E104" s="29">
        <f>IFERROR(ROUND(PayGapsForMalesInRacialEthnicGroupsByOccupationalSeries[[#This Row],[Hispanic - Latino Male Occ Dist]]*PayGapsForMalesInRacialEthnicGroupsByOccupationalSeries[[#This Row],[Hispanic Latino % White Male Avg Salary]],7),"")</f>
        <v>1.9862999999999999E-3</v>
      </c>
      <c r="F10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05" spans="1:6" ht="15.6" x14ac:dyDescent="0.3">
      <c r="A105" s="4" t="s">
        <v>115</v>
      </c>
      <c r="B10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0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0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0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0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06" spans="1:6" ht="15.6" x14ac:dyDescent="0.3">
      <c r="A106" s="4" t="s">
        <v>116</v>
      </c>
      <c r="B10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06" s="29">
        <f>IFERROR(ROUND(PayGapsForMalesInRacialEthnicGroupsByOccupationalSeries[[#This Row],[ANHPI Male Occ Dist]]*PayGapsForMalesInRacialEthnicGroupsByOccupationalSeries[[#This Row],[ANHPI Male % White Male Avg Salary]],7),"")</f>
        <v>2.1494999999999999E-3</v>
      </c>
      <c r="D106" s="29">
        <f>IFERROR(ROUND(PayGapsForMalesInRacialEthnicGroupsByOccupationalSeries[[#This Row],[Black Male Occ Dist]]*PayGapsForMalesInRacialEthnicGroupsByOccupationalSeries[[#This Row],[Black Male % White Male Avg Salary]],7),"")</f>
        <v>3.1495999999999998E-3</v>
      </c>
      <c r="E106" s="29">
        <f>IFERROR(ROUND(PayGapsForMalesInRacialEthnicGroupsByOccupationalSeries[[#This Row],[Hispanic - Latino Male Occ Dist]]*PayGapsForMalesInRacialEthnicGroupsByOccupationalSeries[[#This Row],[Hispanic Latino % White Male Avg Salary]],7),"")</f>
        <v>3.0990000000000002E-3</v>
      </c>
      <c r="F106" s="81">
        <f>IFERROR(ROUND(PayGapsForMalesInRacialEthnicGroupsByOccupationalSeries[[#This Row],[Other Male Occ Dist]]*PayGapsForMalesInRacialEthnicGroupsByOccupationalSeries[[#This Row],[Other Male % White Male Salary]],7),"")</f>
        <v>1.3668E-3</v>
      </c>
    </row>
    <row r="107" spans="1:6" ht="15.6" x14ac:dyDescent="0.3">
      <c r="A107" s="4" t="s">
        <v>117</v>
      </c>
      <c r="B107" s="29">
        <f>IFERROR(ROUND(PayGapsForMalesInRacialEthnicGroupsByOccupationalSeries[[#This Row],[AIAN Male Occ Dist]]*PayGapsForMalesInRacialEthnicGroupsByOccupationalSeries[[#This Row],[AIAN Male % White Male Avg Salary]],7),"")</f>
        <v>4.8351999999999996E-3</v>
      </c>
      <c r="C107" s="29">
        <f>IFERROR(ROUND(PayGapsForMalesInRacialEthnicGroupsByOccupationalSeries[[#This Row],[ANHPI Male Occ Dist]]*PayGapsForMalesInRacialEthnicGroupsByOccupationalSeries[[#This Row],[ANHPI Male % White Male Avg Salary]],7),"")</f>
        <v>1.3139899999999999E-2</v>
      </c>
      <c r="D107" s="29">
        <f>IFERROR(ROUND(PayGapsForMalesInRacialEthnicGroupsByOccupationalSeries[[#This Row],[Black Male Occ Dist]]*PayGapsForMalesInRacialEthnicGroupsByOccupationalSeries[[#This Row],[Black Male % White Male Avg Salary]],7),"")</f>
        <v>3.8254000000000001E-3</v>
      </c>
      <c r="E107" s="29">
        <f>IFERROR(ROUND(PayGapsForMalesInRacialEthnicGroupsByOccupationalSeries[[#This Row],[Hispanic - Latino Male Occ Dist]]*PayGapsForMalesInRacialEthnicGroupsByOccupationalSeries[[#This Row],[Hispanic Latino % White Male Avg Salary]],7),"")</f>
        <v>2.6013999999999998E-3</v>
      </c>
      <c r="F107" s="81">
        <f>IFERROR(ROUND(PayGapsForMalesInRacialEthnicGroupsByOccupationalSeries[[#This Row],[Other Male Occ Dist]]*PayGapsForMalesInRacialEthnicGroupsByOccupationalSeries[[#This Row],[Other Male % White Male Salary]],7),"")</f>
        <v>3.0593999999999999E-3</v>
      </c>
    </row>
    <row r="108" spans="1:6" ht="15.6" x14ac:dyDescent="0.3">
      <c r="A108" s="4" t="s">
        <v>118</v>
      </c>
      <c r="B108" s="29">
        <f>IFERROR(ROUND(PayGapsForMalesInRacialEthnicGroupsByOccupationalSeries[[#This Row],[AIAN Male Occ Dist]]*PayGapsForMalesInRacialEthnicGroupsByOccupationalSeries[[#This Row],[AIAN Male % White Male Avg Salary]],7),"")</f>
        <v>1.8121600000000002E-2</v>
      </c>
      <c r="C108" s="29">
        <f>IFERROR(ROUND(PayGapsForMalesInRacialEthnicGroupsByOccupationalSeries[[#This Row],[ANHPI Male Occ Dist]]*PayGapsForMalesInRacialEthnicGroupsByOccupationalSeries[[#This Row],[ANHPI Male % White Male Avg Salary]],7),"")</f>
        <v>4.8831300000000001E-2</v>
      </c>
      <c r="D108" s="29">
        <f>IFERROR(ROUND(PayGapsForMalesInRacialEthnicGroupsByOccupationalSeries[[#This Row],[Black Male Occ Dist]]*PayGapsForMalesInRacialEthnicGroupsByOccupationalSeries[[#This Row],[Black Male % White Male Avg Salary]],7),"")</f>
        <v>5.1999999999999998E-3</v>
      </c>
      <c r="E108" s="29">
        <f>IFERROR(ROUND(PayGapsForMalesInRacialEthnicGroupsByOccupationalSeries[[#This Row],[Hispanic - Latino Male Occ Dist]]*PayGapsForMalesInRacialEthnicGroupsByOccupationalSeries[[#This Row],[Hispanic Latino % White Male Avg Salary]],7),"")</f>
        <v>8.0335000000000007E-3</v>
      </c>
      <c r="F108" s="81">
        <f>IFERROR(ROUND(PayGapsForMalesInRacialEthnicGroupsByOccupationalSeries[[#This Row],[Other Male Occ Dist]]*PayGapsForMalesInRacialEthnicGroupsByOccupationalSeries[[#This Row],[Other Male % White Male Salary]],7),"")</f>
        <v>5.5230000000000001E-3</v>
      </c>
    </row>
    <row r="109" spans="1:6" ht="15.6" x14ac:dyDescent="0.3">
      <c r="A109" s="4" t="s">
        <v>119</v>
      </c>
      <c r="B10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09" s="29">
        <f>IFERROR(ROUND(PayGapsForMalesInRacialEthnicGroupsByOccupationalSeries[[#This Row],[ANHPI Male Occ Dist]]*PayGapsForMalesInRacialEthnicGroupsByOccupationalSeries[[#This Row],[ANHPI Male % White Male Avg Salary]],7),"")</f>
        <v>1.2625E-3</v>
      </c>
      <c r="D109" s="29">
        <f>IFERROR(ROUND(PayGapsForMalesInRacialEthnicGroupsByOccupationalSeries[[#This Row],[Black Male Occ Dist]]*PayGapsForMalesInRacialEthnicGroupsByOccupationalSeries[[#This Row],[Black Male % White Male Avg Salary]],7),"")</f>
        <v>9.1929999999999996E-4</v>
      </c>
      <c r="E109" s="29">
        <f>IFERROR(ROUND(PayGapsForMalesInRacialEthnicGroupsByOccupationalSeries[[#This Row],[Hispanic - Latino Male Occ Dist]]*PayGapsForMalesInRacialEthnicGroupsByOccupationalSeries[[#This Row],[Hispanic Latino % White Male Avg Salary]],7),"")</f>
        <v>6.6870000000000005E-4</v>
      </c>
      <c r="F10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10" spans="1:6" ht="15.6" x14ac:dyDescent="0.3">
      <c r="A110" s="4" t="s">
        <v>120</v>
      </c>
      <c r="B110" s="29">
        <f>IFERROR(ROUND(PayGapsForMalesInRacialEthnicGroupsByOccupationalSeries[[#This Row],[AIAN Male Occ Dist]]*PayGapsForMalesInRacialEthnicGroupsByOccupationalSeries[[#This Row],[AIAN Male % White Male Avg Salary]],7),"")</f>
        <v>2.3127499999999999E-2</v>
      </c>
      <c r="C110" s="29">
        <f>IFERROR(ROUND(PayGapsForMalesInRacialEthnicGroupsByOccupationalSeries[[#This Row],[ANHPI Male Occ Dist]]*PayGapsForMalesInRacialEthnicGroupsByOccupationalSeries[[#This Row],[ANHPI Male % White Male Avg Salary]],7),"")</f>
        <v>4.1984500000000001E-2</v>
      </c>
      <c r="D110" s="29">
        <f>IFERROR(ROUND(PayGapsForMalesInRacialEthnicGroupsByOccupationalSeries[[#This Row],[Black Male Occ Dist]]*PayGapsForMalesInRacialEthnicGroupsByOccupationalSeries[[#This Row],[Black Male % White Male Avg Salary]],7),"")</f>
        <v>1.5787099999999998E-2</v>
      </c>
      <c r="E110" s="29">
        <f>IFERROR(ROUND(PayGapsForMalesInRacialEthnicGroupsByOccupationalSeries[[#This Row],[Hispanic - Latino Male Occ Dist]]*PayGapsForMalesInRacialEthnicGroupsByOccupationalSeries[[#This Row],[Hispanic Latino % White Male Avg Salary]],7),"")</f>
        <v>1.4492100000000001E-2</v>
      </c>
      <c r="F110" s="81">
        <f>IFERROR(ROUND(PayGapsForMalesInRacialEthnicGroupsByOccupationalSeries[[#This Row],[Other Male Occ Dist]]*PayGapsForMalesInRacialEthnicGroupsByOccupationalSeries[[#This Row],[Other Male % White Male Salary]],7),"")</f>
        <v>9.8703000000000003E-3</v>
      </c>
    </row>
    <row r="111" spans="1:6" ht="15.6" x14ac:dyDescent="0.3">
      <c r="A111" s="4" t="s">
        <v>121</v>
      </c>
      <c r="B111" s="29">
        <f>IFERROR(ROUND(PayGapsForMalesInRacialEthnicGroupsByOccupationalSeries[[#This Row],[AIAN Male Occ Dist]]*PayGapsForMalesInRacialEthnicGroupsByOccupationalSeries[[#This Row],[AIAN Male % White Male Avg Salary]],7),"")</f>
        <v>3.7467999999999998E-3</v>
      </c>
      <c r="C111" s="29">
        <f>IFERROR(ROUND(PayGapsForMalesInRacialEthnicGroupsByOccupationalSeries[[#This Row],[ANHPI Male Occ Dist]]*PayGapsForMalesInRacialEthnicGroupsByOccupationalSeries[[#This Row],[ANHPI Male % White Male Avg Salary]],7),"")</f>
        <v>6.3816999999999997E-3</v>
      </c>
      <c r="D111" s="29">
        <f>IFERROR(ROUND(PayGapsForMalesInRacialEthnicGroupsByOccupationalSeries[[#This Row],[Black Male Occ Dist]]*PayGapsForMalesInRacialEthnicGroupsByOccupationalSeries[[#This Row],[Black Male % White Male Avg Salary]],7),"")</f>
        <v>5.1821000000000002E-3</v>
      </c>
      <c r="E111" s="29">
        <f>IFERROR(ROUND(PayGapsForMalesInRacialEthnicGroupsByOccupationalSeries[[#This Row],[Hispanic - Latino Male Occ Dist]]*PayGapsForMalesInRacialEthnicGroupsByOccupationalSeries[[#This Row],[Hispanic Latino % White Male Avg Salary]],7),"")</f>
        <v>3.6738000000000001E-3</v>
      </c>
      <c r="F111" s="81">
        <f>IFERROR(ROUND(PayGapsForMalesInRacialEthnicGroupsByOccupationalSeries[[#This Row],[Other Male Occ Dist]]*PayGapsForMalesInRacialEthnicGroupsByOccupationalSeries[[#This Row],[Other Male % White Male Salary]],7),"")</f>
        <v>2.6340999999999999E-3</v>
      </c>
    </row>
    <row r="112" spans="1:6" ht="15.6" x14ac:dyDescent="0.3">
      <c r="A112" s="4" t="s">
        <v>122</v>
      </c>
      <c r="B112" s="29">
        <f>IFERROR(ROUND(PayGapsForMalesInRacialEthnicGroupsByOccupationalSeries[[#This Row],[AIAN Male Occ Dist]]*PayGapsForMalesInRacialEthnicGroupsByOccupationalSeries[[#This Row],[AIAN Male % White Male Avg Salary]],7),"")</f>
        <v>6.1462000000000001E-3</v>
      </c>
      <c r="C112" s="29">
        <f>IFERROR(ROUND(PayGapsForMalesInRacialEthnicGroupsByOccupationalSeries[[#This Row],[ANHPI Male Occ Dist]]*PayGapsForMalesInRacialEthnicGroupsByOccupationalSeries[[#This Row],[ANHPI Male % White Male Avg Salary]],7),"")</f>
        <v>5.4926999999999997E-3</v>
      </c>
      <c r="D112" s="29">
        <f>IFERROR(ROUND(PayGapsForMalesInRacialEthnicGroupsByOccupationalSeries[[#This Row],[Black Male Occ Dist]]*PayGapsForMalesInRacialEthnicGroupsByOccupationalSeries[[#This Row],[Black Male % White Male Avg Salary]],7),"")</f>
        <v>1.04282E-2</v>
      </c>
      <c r="E112" s="29">
        <f>IFERROR(ROUND(PayGapsForMalesInRacialEthnicGroupsByOccupationalSeries[[#This Row],[Hispanic - Latino Male Occ Dist]]*PayGapsForMalesInRacialEthnicGroupsByOccupationalSeries[[#This Row],[Hispanic Latino % White Male Avg Salary]],7),"")</f>
        <v>2.5958999999999999E-3</v>
      </c>
      <c r="F112" s="81">
        <f>IFERROR(ROUND(PayGapsForMalesInRacialEthnicGroupsByOccupationalSeries[[#This Row],[Other Male Occ Dist]]*PayGapsForMalesInRacialEthnicGroupsByOccupationalSeries[[#This Row],[Other Male % White Male Salary]],7),"")</f>
        <v>1.1915000000000001E-3</v>
      </c>
    </row>
    <row r="113" spans="1:6" ht="31.2" x14ac:dyDescent="0.3">
      <c r="A113" s="4" t="s">
        <v>123</v>
      </c>
      <c r="B11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13" s="29">
        <f>IFERROR(ROUND(PayGapsForMalesInRacialEthnicGroupsByOccupationalSeries[[#This Row],[ANHPI Male Occ Dist]]*PayGapsForMalesInRacialEthnicGroupsByOccupationalSeries[[#This Row],[ANHPI Male % White Male Avg Salary]],7),"")</f>
        <v>2.3773000000000002E-3</v>
      </c>
      <c r="D113" s="29">
        <f>IFERROR(ROUND(PayGapsForMalesInRacialEthnicGroupsByOccupationalSeries[[#This Row],[Black Male Occ Dist]]*PayGapsForMalesInRacialEthnicGroupsByOccupationalSeries[[#This Row],[Black Male % White Male Avg Salary]],7),"")</f>
        <v>4.5258E-3</v>
      </c>
      <c r="E113" s="29">
        <f>IFERROR(ROUND(PayGapsForMalesInRacialEthnicGroupsByOccupationalSeries[[#This Row],[Hispanic - Latino Male Occ Dist]]*PayGapsForMalesInRacialEthnicGroupsByOccupationalSeries[[#This Row],[Hispanic Latino % White Male Avg Salary]],7),"")</f>
        <v>1.7044E-3</v>
      </c>
      <c r="F11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14" spans="1:6" ht="15.6" x14ac:dyDescent="0.3">
      <c r="A114" s="4" t="s">
        <v>124</v>
      </c>
      <c r="B11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14" s="29">
        <f>IFERROR(ROUND(PayGapsForMalesInRacialEthnicGroupsByOccupationalSeries[[#This Row],[ANHPI Male Occ Dist]]*PayGapsForMalesInRacialEthnicGroupsByOccupationalSeries[[#This Row],[ANHPI Male % White Male Avg Salary]],7),"")</f>
        <v>4.0959999999999998E-4</v>
      </c>
      <c r="D114" s="29">
        <f>IFERROR(ROUND(PayGapsForMalesInRacialEthnicGroupsByOccupationalSeries[[#This Row],[Black Male Occ Dist]]*PayGapsForMalesInRacialEthnicGroupsByOccupationalSeries[[#This Row],[Black Male % White Male Avg Salary]],7),"")</f>
        <v>1.211E-4</v>
      </c>
      <c r="E114" s="29">
        <f>IFERROR(ROUND(PayGapsForMalesInRacialEthnicGroupsByOccupationalSeries[[#This Row],[Hispanic - Latino Male Occ Dist]]*PayGapsForMalesInRacialEthnicGroupsByOccupationalSeries[[#This Row],[Hispanic Latino % White Male Avg Salary]],7),"")</f>
        <v>1.07E-4</v>
      </c>
      <c r="F11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15" spans="1:6" ht="15.6" x14ac:dyDescent="0.3">
      <c r="A115" s="4" t="s">
        <v>125</v>
      </c>
      <c r="B11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15" s="29">
        <f>IFERROR(ROUND(PayGapsForMalesInRacialEthnicGroupsByOccupationalSeries[[#This Row],[ANHPI Male Occ Dist]]*PayGapsForMalesInRacialEthnicGroupsByOccupationalSeries[[#This Row],[ANHPI Male % White Male Avg Salary]],7),"")</f>
        <v>7.2099999999999996E-4</v>
      </c>
      <c r="D115" s="29">
        <f>IFERROR(ROUND(PayGapsForMalesInRacialEthnicGroupsByOccupationalSeries[[#This Row],[Black Male Occ Dist]]*PayGapsForMalesInRacialEthnicGroupsByOccupationalSeries[[#This Row],[Black Male % White Male Avg Salary]],7),"")</f>
        <v>2.519E-4</v>
      </c>
      <c r="E115" s="29">
        <f>IFERROR(ROUND(PayGapsForMalesInRacialEthnicGroupsByOccupationalSeries[[#This Row],[Hispanic - Latino Male Occ Dist]]*PayGapsForMalesInRacialEthnicGroupsByOccupationalSeries[[#This Row],[Hispanic Latino % White Male Avg Salary]],7),"")</f>
        <v>3.5340000000000002E-4</v>
      </c>
      <c r="F11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16" spans="1:6" ht="15.6" x14ac:dyDescent="0.3">
      <c r="A116" s="4" t="s">
        <v>126</v>
      </c>
      <c r="B11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16" s="29">
        <f>IFERROR(ROUND(PayGapsForMalesInRacialEthnicGroupsByOccupationalSeries[[#This Row],[ANHPI Male Occ Dist]]*PayGapsForMalesInRacialEthnicGroupsByOccupationalSeries[[#This Row],[ANHPI Male % White Male Avg Salary]],7),"")</f>
        <v>2.8752999999999999E-3</v>
      </c>
      <c r="D116" s="29">
        <f>IFERROR(ROUND(PayGapsForMalesInRacialEthnicGroupsByOccupationalSeries[[#This Row],[Black Male Occ Dist]]*PayGapsForMalesInRacialEthnicGroupsByOccupationalSeries[[#This Row],[Black Male % White Male Avg Salary]],7),"")</f>
        <v>4.373E-4</v>
      </c>
      <c r="E116" s="29">
        <f>IFERROR(ROUND(PayGapsForMalesInRacialEthnicGroupsByOccupationalSeries[[#This Row],[Hispanic - Latino Male Occ Dist]]*PayGapsForMalesInRacialEthnicGroupsByOccupationalSeries[[#This Row],[Hispanic Latino % White Male Avg Salary]],7),"")</f>
        <v>5.689E-4</v>
      </c>
      <c r="F11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17" spans="1:6" ht="15.6" x14ac:dyDescent="0.3">
      <c r="A117" s="4" t="s">
        <v>127</v>
      </c>
      <c r="B11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1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17" s="29">
        <f>IFERROR(ROUND(PayGapsForMalesInRacialEthnicGroupsByOccupationalSeries[[#This Row],[Black Male Occ Dist]]*PayGapsForMalesInRacialEthnicGroupsByOccupationalSeries[[#This Row],[Black Male % White Male Avg Salary]],7),"")</f>
        <v>4.036E-4</v>
      </c>
      <c r="E11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1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18" spans="1:6" ht="31.2" x14ac:dyDescent="0.3">
      <c r="A118" s="4" t="s">
        <v>128</v>
      </c>
      <c r="B11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1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18" s="29">
        <f>IFERROR(ROUND(PayGapsForMalesInRacialEthnicGroupsByOccupationalSeries[[#This Row],[Black Male Occ Dist]]*PayGapsForMalesInRacialEthnicGroupsByOccupationalSeries[[#This Row],[Black Male % White Male Avg Salary]],7),"")</f>
        <v>6.5990000000000005E-4</v>
      </c>
      <c r="E118" s="29">
        <f>IFERROR(ROUND(PayGapsForMalesInRacialEthnicGroupsByOccupationalSeries[[#This Row],[Hispanic - Latino Male Occ Dist]]*PayGapsForMalesInRacialEthnicGroupsByOccupationalSeries[[#This Row],[Hispanic Latino % White Male Avg Salary]],7),"")</f>
        <v>5.4690000000000001E-4</v>
      </c>
      <c r="F11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19" spans="1:6" ht="31.2" x14ac:dyDescent="0.3">
      <c r="A119" s="4" t="s">
        <v>129</v>
      </c>
      <c r="B11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1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19" s="29">
        <f>IFERROR(ROUND(PayGapsForMalesInRacialEthnicGroupsByOccupationalSeries[[#This Row],[Black Male Occ Dist]]*PayGapsForMalesInRacialEthnicGroupsByOccupationalSeries[[#This Row],[Black Male % White Male Avg Salary]],7),"")</f>
        <v>4.9689999999999999E-4</v>
      </c>
      <c r="E11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1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20" spans="1:6" ht="15.6" x14ac:dyDescent="0.3">
      <c r="A120" s="4" t="s">
        <v>130</v>
      </c>
      <c r="B120" s="29">
        <f>IFERROR(ROUND(PayGapsForMalesInRacialEthnicGroupsByOccupationalSeries[[#This Row],[AIAN Male Occ Dist]]*PayGapsForMalesInRacialEthnicGroupsByOccupationalSeries[[#This Row],[AIAN Male % White Male Avg Salary]],7),"")</f>
        <v>1.10396E-2</v>
      </c>
      <c r="C120" s="29">
        <f>IFERROR(ROUND(PayGapsForMalesInRacialEthnicGroupsByOccupationalSeries[[#This Row],[ANHPI Male Occ Dist]]*PayGapsForMalesInRacialEthnicGroupsByOccupationalSeries[[#This Row],[ANHPI Male % White Male Avg Salary]],7),"")</f>
        <v>4.2769000000000001E-3</v>
      </c>
      <c r="D120" s="29">
        <f>IFERROR(ROUND(PayGapsForMalesInRacialEthnicGroupsByOccupationalSeries[[#This Row],[Black Male Occ Dist]]*PayGapsForMalesInRacialEthnicGroupsByOccupationalSeries[[#This Row],[Black Male % White Male Avg Salary]],7),"")</f>
        <v>8.3050999999999993E-3</v>
      </c>
      <c r="E120" s="29">
        <f>IFERROR(ROUND(PayGapsForMalesInRacialEthnicGroupsByOccupationalSeries[[#This Row],[Hispanic - Latino Male Occ Dist]]*PayGapsForMalesInRacialEthnicGroupsByOccupationalSeries[[#This Row],[Hispanic Latino % White Male Avg Salary]],7),"")</f>
        <v>5.2129999999999998E-3</v>
      </c>
      <c r="F120" s="81">
        <f>IFERROR(ROUND(PayGapsForMalesInRacialEthnicGroupsByOccupationalSeries[[#This Row],[Other Male Occ Dist]]*PayGapsForMalesInRacialEthnicGroupsByOccupationalSeries[[#This Row],[Other Male % White Male Salary]],7),"")</f>
        <v>3.7984E-3</v>
      </c>
    </row>
    <row r="121" spans="1:6" ht="15.6" x14ac:dyDescent="0.3">
      <c r="A121" s="4" t="s">
        <v>131</v>
      </c>
      <c r="B121" s="29">
        <f>IFERROR(ROUND(PayGapsForMalesInRacialEthnicGroupsByOccupationalSeries[[#This Row],[AIAN Male Occ Dist]]*PayGapsForMalesInRacialEthnicGroupsByOccupationalSeries[[#This Row],[AIAN Male % White Male Avg Salary]],7),"")</f>
        <v>3.5631999999999999E-3</v>
      </c>
      <c r="C121" s="29">
        <f>IFERROR(ROUND(PayGapsForMalesInRacialEthnicGroupsByOccupationalSeries[[#This Row],[ANHPI Male Occ Dist]]*PayGapsForMalesInRacialEthnicGroupsByOccupationalSeries[[#This Row],[ANHPI Male % White Male Avg Salary]],7),"")</f>
        <v>4.2452999999999996E-3</v>
      </c>
      <c r="D121" s="29">
        <f>IFERROR(ROUND(PayGapsForMalesInRacialEthnicGroupsByOccupationalSeries[[#This Row],[Black Male Occ Dist]]*PayGapsForMalesInRacialEthnicGroupsByOccupationalSeries[[#This Row],[Black Male % White Male Avg Salary]],7),"")</f>
        <v>2.0325999999999999E-3</v>
      </c>
      <c r="E121" s="29">
        <f>IFERROR(ROUND(PayGapsForMalesInRacialEthnicGroupsByOccupationalSeries[[#This Row],[Hispanic - Latino Male Occ Dist]]*PayGapsForMalesInRacialEthnicGroupsByOccupationalSeries[[#This Row],[Hispanic Latino % White Male Avg Salary]],7),"")</f>
        <v>1.6328E-3</v>
      </c>
      <c r="F12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22" spans="1:6" ht="15.6" x14ac:dyDescent="0.3">
      <c r="A122" s="4" t="s">
        <v>132</v>
      </c>
      <c r="B122" s="29">
        <f>IFERROR(ROUND(PayGapsForMalesInRacialEthnicGroupsByOccupationalSeries[[#This Row],[AIAN Male Occ Dist]]*PayGapsForMalesInRacialEthnicGroupsByOccupationalSeries[[#This Row],[AIAN Male % White Male Avg Salary]],7),"")</f>
        <v>2.7009E-3</v>
      </c>
      <c r="C122" s="29">
        <f>IFERROR(ROUND(PayGapsForMalesInRacialEthnicGroupsByOccupationalSeries[[#This Row],[ANHPI Male Occ Dist]]*PayGapsForMalesInRacialEthnicGroupsByOccupationalSeries[[#This Row],[ANHPI Male % White Male Avg Salary]],7),"")</f>
        <v>1.4325E-3</v>
      </c>
      <c r="D122" s="29">
        <f>IFERROR(ROUND(PayGapsForMalesInRacialEthnicGroupsByOccupationalSeries[[#This Row],[Black Male Occ Dist]]*PayGapsForMalesInRacialEthnicGroupsByOccupationalSeries[[#This Row],[Black Male % White Male Avg Salary]],7),"")</f>
        <v>1.6199999999999999E-3</v>
      </c>
      <c r="E122" s="29">
        <f>IFERROR(ROUND(PayGapsForMalesInRacialEthnicGroupsByOccupationalSeries[[#This Row],[Hispanic - Latino Male Occ Dist]]*PayGapsForMalesInRacialEthnicGroupsByOccupationalSeries[[#This Row],[Hispanic Latino % White Male Avg Salary]],7),"")</f>
        <v>1.1559999999999999E-3</v>
      </c>
      <c r="F12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23" spans="1:6" ht="15.6" x14ac:dyDescent="0.3">
      <c r="A123" s="4" t="s">
        <v>133</v>
      </c>
      <c r="B12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2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2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2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2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24" spans="1:6" ht="31.2" x14ac:dyDescent="0.3">
      <c r="A124" s="4" t="s">
        <v>134</v>
      </c>
      <c r="B124" s="29">
        <f>IFERROR(ROUND(PayGapsForMalesInRacialEthnicGroupsByOccupationalSeries[[#This Row],[AIAN Male Occ Dist]]*PayGapsForMalesInRacialEthnicGroupsByOccupationalSeries[[#This Row],[AIAN Male % White Male Avg Salary]],7),"")</f>
        <v>5.2052000000000001E-3</v>
      </c>
      <c r="C124" s="29">
        <f>IFERROR(ROUND(PayGapsForMalesInRacialEthnicGroupsByOccupationalSeries[[#This Row],[ANHPI Male Occ Dist]]*PayGapsForMalesInRacialEthnicGroupsByOccupationalSeries[[#This Row],[ANHPI Male % White Male Avg Salary]],7),"")</f>
        <v>4.5193000000000004E-3</v>
      </c>
      <c r="D124" s="29">
        <f>IFERROR(ROUND(PayGapsForMalesInRacialEthnicGroupsByOccupationalSeries[[#This Row],[Black Male Occ Dist]]*PayGapsForMalesInRacialEthnicGroupsByOccupationalSeries[[#This Row],[Black Male % White Male Avg Salary]],7),"")</f>
        <v>2.9675000000000001E-3</v>
      </c>
      <c r="E124" s="29">
        <f>IFERROR(ROUND(PayGapsForMalesInRacialEthnicGroupsByOccupationalSeries[[#This Row],[Hispanic - Latino Male Occ Dist]]*PayGapsForMalesInRacialEthnicGroupsByOccupationalSeries[[#This Row],[Hispanic Latino % White Male Avg Salary]],7),"")</f>
        <v>2.3227999999999999E-3</v>
      </c>
      <c r="F12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25" spans="1:6" ht="31.2" x14ac:dyDescent="0.3">
      <c r="A125" s="4" t="s">
        <v>135</v>
      </c>
      <c r="B12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2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2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2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2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26" spans="1:6" ht="15.6" x14ac:dyDescent="0.3">
      <c r="A126" s="4" t="s">
        <v>136</v>
      </c>
      <c r="B12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26" s="29">
        <f>IFERROR(ROUND(PayGapsForMalesInRacialEthnicGroupsByOccupationalSeries[[#This Row],[ANHPI Male Occ Dist]]*PayGapsForMalesInRacialEthnicGroupsByOccupationalSeries[[#This Row],[ANHPI Male % White Male Avg Salary]],7),"")</f>
        <v>2.9115999999999999E-3</v>
      </c>
      <c r="D126" s="29">
        <f>IFERROR(ROUND(PayGapsForMalesInRacialEthnicGroupsByOccupationalSeries[[#This Row],[Black Male Occ Dist]]*PayGapsForMalesInRacialEthnicGroupsByOccupationalSeries[[#This Row],[Black Male % White Male Avg Salary]],7),"")</f>
        <v>2.5703000000000002E-3</v>
      </c>
      <c r="E126" s="29">
        <f>IFERROR(ROUND(PayGapsForMalesInRacialEthnicGroupsByOccupationalSeries[[#This Row],[Hispanic - Latino Male Occ Dist]]*PayGapsForMalesInRacialEthnicGroupsByOccupationalSeries[[#This Row],[Hispanic Latino % White Male Avg Salary]],7),"")</f>
        <v>2.3375000000000002E-3</v>
      </c>
      <c r="F12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27" spans="1:6" ht="15.6" x14ac:dyDescent="0.3">
      <c r="A127" s="4" t="s">
        <v>137</v>
      </c>
      <c r="B12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2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27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2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2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28" spans="1:6" ht="15.6" x14ac:dyDescent="0.3">
      <c r="A128" s="4" t="s">
        <v>138</v>
      </c>
      <c r="B128" s="29">
        <f>IFERROR(ROUND(PayGapsForMalesInRacialEthnicGroupsByOccupationalSeries[[#This Row],[AIAN Male Occ Dist]]*PayGapsForMalesInRacialEthnicGroupsByOccupationalSeries[[#This Row],[AIAN Male % White Male Avg Salary]],7),"")</f>
        <v>5.1910000000000003E-3</v>
      </c>
      <c r="C128" s="29">
        <f>IFERROR(ROUND(PayGapsForMalesInRacialEthnicGroupsByOccupationalSeries[[#This Row],[ANHPI Male Occ Dist]]*PayGapsForMalesInRacialEthnicGroupsByOccupationalSeries[[#This Row],[ANHPI Male % White Male Avg Salary]],7),"")</f>
        <v>1.03017E-2</v>
      </c>
      <c r="D128" s="29">
        <f>IFERROR(ROUND(PayGapsForMalesInRacialEthnicGroupsByOccupationalSeries[[#This Row],[Black Male Occ Dist]]*PayGapsForMalesInRacialEthnicGroupsByOccupationalSeries[[#This Row],[Black Male % White Male Avg Salary]],7),"")</f>
        <v>2.2384000000000002E-3</v>
      </c>
      <c r="E128" s="29">
        <f>IFERROR(ROUND(PayGapsForMalesInRacialEthnicGroupsByOccupationalSeries[[#This Row],[Hispanic - Latino Male Occ Dist]]*PayGapsForMalesInRacialEthnicGroupsByOccupationalSeries[[#This Row],[Hispanic Latino % White Male Avg Salary]],7),"")</f>
        <v>1.4234E-3</v>
      </c>
      <c r="F128" s="81">
        <f>IFERROR(ROUND(PayGapsForMalesInRacialEthnicGroupsByOccupationalSeries[[#This Row],[Other Male Occ Dist]]*PayGapsForMalesInRacialEthnicGroupsByOccupationalSeries[[#This Row],[Other Male % White Male Salary]],7),"")</f>
        <v>2.4407000000000001E-3</v>
      </c>
    </row>
    <row r="129" spans="1:6" ht="15.6" x14ac:dyDescent="0.3">
      <c r="A129" s="4" t="s">
        <v>139</v>
      </c>
      <c r="B129" s="29">
        <f>IFERROR(ROUND(PayGapsForMalesInRacialEthnicGroupsByOccupationalSeries[[#This Row],[AIAN Male Occ Dist]]*PayGapsForMalesInRacialEthnicGroupsByOccupationalSeries[[#This Row],[AIAN Male % White Male Avg Salary]],7),"")</f>
        <v>5.8975E-3</v>
      </c>
      <c r="C129" s="29">
        <f>IFERROR(ROUND(PayGapsForMalesInRacialEthnicGroupsByOccupationalSeries[[#This Row],[ANHPI Male Occ Dist]]*PayGapsForMalesInRacialEthnicGroupsByOccupationalSeries[[#This Row],[ANHPI Male % White Male Avg Salary]],7),"")</f>
        <v>4.0784000000000003E-3</v>
      </c>
      <c r="D129" s="29">
        <f>IFERROR(ROUND(PayGapsForMalesInRacialEthnicGroupsByOccupationalSeries[[#This Row],[Black Male Occ Dist]]*PayGapsForMalesInRacialEthnicGroupsByOccupationalSeries[[#This Row],[Black Male % White Male Avg Salary]],7),"")</f>
        <v>2.4689E-3</v>
      </c>
      <c r="E129" s="29">
        <f>IFERROR(ROUND(PayGapsForMalesInRacialEthnicGroupsByOccupationalSeries[[#This Row],[Hispanic - Latino Male Occ Dist]]*PayGapsForMalesInRacialEthnicGroupsByOccupationalSeries[[#This Row],[Hispanic Latino % White Male Avg Salary]],7),"")</f>
        <v>2.2025E-3</v>
      </c>
      <c r="F129" s="81">
        <f>IFERROR(ROUND(PayGapsForMalesInRacialEthnicGroupsByOccupationalSeries[[#This Row],[Other Male Occ Dist]]*PayGapsForMalesInRacialEthnicGroupsByOccupationalSeries[[#This Row],[Other Male % White Male Salary]],7),"")</f>
        <v>1.255E-3</v>
      </c>
    </row>
    <row r="130" spans="1:6" ht="15.6" x14ac:dyDescent="0.3">
      <c r="A130" s="4" t="s">
        <v>140</v>
      </c>
      <c r="B13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30" s="29">
        <f>IFERROR(ROUND(PayGapsForMalesInRacialEthnicGroupsByOccupationalSeries[[#This Row],[ANHPI Male Occ Dist]]*PayGapsForMalesInRacialEthnicGroupsByOccupationalSeries[[#This Row],[ANHPI Male % White Male Avg Salary]],7),"")</f>
        <v>8.0999999999999996E-4</v>
      </c>
      <c r="D130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3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3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31" spans="1:6" ht="31.2" x14ac:dyDescent="0.3">
      <c r="A131" s="4" t="s">
        <v>141</v>
      </c>
      <c r="B13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3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31" s="29">
        <f>IFERROR(ROUND(PayGapsForMalesInRacialEthnicGroupsByOccupationalSeries[[#This Row],[Black Male Occ Dist]]*PayGapsForMalesInRacialEthnicGroupsByOccupationalSeries[[#This Row],[Black Male % White Male Avg Salary]],7),"")</f>
        <v>7.9699999999999999E-5</v>
      </c>
      <c r="E13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3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32" spans="1:6" ht="15.6" x14ac:dyDescent="0.3">
      <c r="A132" s="4" t="s">
        <v>142</v>
      </c>
      <c r="B13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3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32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3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3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33" spans="1:6" ht="15.6" x14ac:dyDescent="0.3">
      <c r="A133" s="4" t="s">
        <v>143</v>
      </c>
      <c r="B13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3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3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3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3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34" spans="1:6" ht="15.6" x14ac:dyDescent="0.3">
      <c r="A134" s="4" t="s">
        <v>144</v>
      </c>
      <c r="B13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3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34" s="29">
        <f>IFERROR(ROUND(PayGapsForMalesInRacialEthnicGroupsByOccupationalSeries[[#This Row],[Black Male Occ Dist]]*PayGapsForMalesInRacialEthnicGroupsByOccupationalSeries[[#This Row],[Black Male % White Male Avg Salary]],7),"")</f>
        <v>2.7690000000000001E-4</v>
      </c>
      <c r="E13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3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35" spans="1:6" ht="15.6" x14ac:dyDescent="0.3">
      <c r="A135" s="4" t="s">
        <v>145</v>
      </c>
      <c r="B13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3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3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3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3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36" spans="1:6" ht="15.6" x14ac:dyDescent="0.3">
      <c r="A136" s="4" t="s">
        <v>146</v>
      </c>
      <c r="B136" s="29">
        <f>IFERROR(ROUND(PayGapsForMalesInRacialEthnicGroupsByOccupationalSeries[[#This Row],[AIAN Male Occ Dist]]*PayGapsForMalesInRacialEthnicGroupsByOccupationalSeries[[#This Row],[AIAN Male % White Male Avg Salary]],7),"")</f>
        <v>6.0212E-3</v>
      </c>
      <c r="C136" s="29">
        <f>IFERROR(ROUND(PayGapsForMalesInRacialEthnicGroupsByOccupationalSeries[[#This Row],[ANHPI Male Occ Dist]]*PayGapsForMalesInRacialEthnicGroupsByOccupationalSeries[[#This Row],[ANHPI Male % White Male Avg Salary]],7),"")</f>
        <v>2.0650999999999998E-3</v>
      </c>
      <c r="D136" s="29">
        <f>IFERROR(ROUND(PayGapsForMalesInRacialEthnicGroupsByOccupationalSeries[[#This Row],[Black Male Occ Dist]]*PayGapsForMalesInRacialEthnicGroupsByOccupationalSeries[[#This Row],[Black Male % White Male Avg Salary]],7),"")</f>
        <v>3.8446000000000001E-3</v>
      </c>
      <c r="E136" s="29">
        <f>IFERROR(ROUND(PayGapsForMalesInRacialEthnicGroupsByOccupationalSeries[[#This Row],[Hispanic - Latino Male Occ Dist]]*PayGapsForMalesInRacialEthnicGroupsByOccupationalSeries[[#This Row],[Hispanic Latino % White Male Avg Salary]],7),"")</f>
        <v>2.1139000000000002E-3</v>
      </c>
      <c r="F136" s="81">
        <f>IFERROR(ROUND(PayGapsForMalesInRacialEthnicGroupsByOccupationalSeries[[#This Row],[Other Male Occ Dist]]*PayGapsForMalesInRacialEthnicGroupsByOccupationalSeries[[#This Row],[Other Male % White Male Salary]],7),"")</f>
        <v>2.7095999999999999E-3</v>
      </c>
    </row>
    <row r="137" spans="1:6" ht="15.6" x14ac:dyDescent="0.3">
      <c r="A137" s="4" t="s">
        <v>147</v>
      </c>
      <c r="B13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3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37" s="29">
        <f>IFERROR(ROUND(PayGapsForMalesInRacialEthnicGroupsByOccupationalSeries[[#This Row],[Black Male Occ Dist]]*PayGapsForMalesInRacialEthnicGroupsByOccupationalSeries[[#This Row],[Black Male % White Male Avg Salary]],7),"")</f>
        <v>4.5869999999999998E-4</v>
      </c>
      <c r="E13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3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38" spans="1:6" ht="31.2" x14ac:dyDescent="0.3">
      <c r="A138" s="4" t="s">
        <v>148</v>
      </c>
      <c r="B13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3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38" s="29">
        <f>IFERROR(ROUND(PayGapsForMalesInRacialEthnicGroupsByOccupationalSeries[[#This Row],[Black Male Occ Dist]]*PayGapsForMalesInRacialEthnicGroupsByOccupationalSeries[[#This Row],[Black Male % White Male Avg Salary]],7),"")</f>
        <v>1.132E-3</v>
      </c>
      <c r="E13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3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39" spans="1:6" ht="15.6" x14ac:dyDescent="0.3">
      <c r="A139" s="4" t="s">
        <v>149</v>
      </c>
      <c r="B139" s="29">
        <f>IFERROR(ROUND(PayGapsForMalesInRacialEthnicGroupsByOccupationalSeries[[#This Row],[AIAN Male Occ Dist]]*PayGapsForMalesInRacialEthnicGroupsByOccupationalSeries[[#This Row],[AIAN Male % White Male Avg Salary]],7),"")</f>
        <v>3.2461999999999999E-3</v>
      </c>
      <c r="C139" s="29">
        <f>IFERROR(ROUND(PayGapsForMalesInRacialEthnicGroupsByOccupationalSeries[[#This Row],[ANHPI Male Occ Dist]]*PayGapsForMalesInRacialEthnicGroupsByOccupationalSeries[[#This Row],[ANHPI Male % White Male Avg Salary]],7),"")</f>
        <v>1.0089999999999999E-3</v>
      </c>
      <c r="D139" s="29">
        <f>IFERROR(ROUND(PayGapsForMalesInRacialEthnicGroupsByOccupationalSeries[[#This Row],[Black Male Occ Dist]]*PayGapsForMalesInRacialEthnicGroupsByOccupationalSeries[[#This Row],[Black Male % White Male Avg Salary]],7),"")</f>
        <v>1.3629E-3</v>
      </c>
      <c r="E139" s="29">
        <f>IFERROR(ROUND(PayGapsForMalesInRacialEthnicGroupsByOccupationalSeries[[#This Row],[Hispanic - Latino Male Occ Dist]]*PayGapsForMalesInRacialEthnicGroupsByOccupationalSeries[[#This Row],[Hispanic Latino % White Male Avg Salary]],7),"")</f>
        <v>7.1630000000000001E-4</v>
      </c>
      <c r="F13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40" spans="1:6" ht="15.6" x14ac:dyDescent="0.3">
      <c r="A140" s="4" t="s">
        <v>150</v>
      </c>
      <c r="B140" s="29">
        <f>IFERROR(ROUND(PayGapsForMalesInRacialEthnicGroupsByOccupationalSeries[[#This Row],[AIAN Male Occ Dist]]*PayGapsForMalesInRacialEthnicGroupsByOccupationalSeries[[#This Row],[AIAN Male % White Male Avg Salary]],7),"")</f>
        <v>1.46415E-2</v>
      </c>
      <c r="C140" s="29">
        <f>IFERROR(ROUND(PayGapsForMalesInRacialEthnicGroupsByOccupationalSeries[[#This Row],[ANHPI Male Occ Dist]]*PayGapsForMalesInRacialEthnicGroupsByOccupationalSeries[[#This Row],[ANHPI Male % White Male Avg Salary]],7),"")</f>
        <v>6.0879999999999997E-3</v>
      </c>
      <c r="D140" s="29">
        <f>IFERROR(ROUND(PayGapsForMalesInRacialEthnicGroupsByOccupationalSeries[[#This Row],[Black Male Occ Dist]]*PayGapsForMalesInRacialEthnicGroupsByOccupationalSeries[[#This Row],[Black Male % White Male Avg Salary]],7),"")</f>
        <v>1.9845000000000002E-2</v>
      </c>
      <c r="E140" s="29">
        <f>IFERROR(ROUND(PayGapsForMalesInRacialEthnicGroupsByOccupationalSeries[[#This Row],[Hispanic - Latino Male Occ Dist]]*PayGapsForMalesInRacialEthnicGroupsByOccupationalSeries[[#This Row],[Hispanic Latino % White Male Avg Salary]],7),"")</f>
        <v>7.3470000000000002E-3</v>
      </c>
      <c r="F140" s="81">
        <f>IFERROR(ROUND(PayGapsForMalesInRacialEthnicGroupsByOccupationalSeries[[#This Row],[Other Male Occ Dist]]*PayGapsForMalesInRacialEthnicGroupsByOccupationalSeries[[#This Row],[Other Male % White Male Salary]],7),"")</f>
        <v>5.8605999999999997E-3</v>
      </c>
    </row>
    <row r="141" spans="1:6" ht="15.6" x14ac:dyDescent="0.3">
      <c r="A141" s="4" t="s">
        <v>151</v>
      </c>
      <c r="B14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41" s="29">
        <f>IFERROR(ROUND(PayGapsForMalesInRacialEthnicGroupsByOccupationalSeries[[#This Row],[ANHPI Male Occ Dist]]*PayGapsForMalesInRacialEthnicGroupsByOccupationalSeries[[#This Row],[ANHPI Male % White Male Avg Salary]],7),"")</f>
        <v>2.0046E-3</v>
      </c>
      <c r="D141" s="29">
        <f>IFERROR(ROUND(PayGapsForMalesInRacialEthnicGroupsByOccupationalSeries[[#This Row],[Black Male Occ Dist]]*PayGapsForMalesInRacialEthnicGroupsByOccupationalSeries[[#This Row],[Black Male % White Male Avg Salary]],7),"")</f>
        <v>4.5029999999999999E-4</v>
      </c>
      <c r="E141" s="29">
        <f>IFERROR(ROUND(PayGapsForMalesInRacialEthnicGroupsByOccupationalSeries[[#This Row],[Hispanic - Latino Male Occ Dist]]*PayGapsForMalesInRacialEthnicGroupsByOccupationalSeries[[#This Row],[Hispanic Latino % White Male Avg Salary]],7),"")</f>
        <v>8.229E-4</v>
      </c>
      <c r="F14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42" spans="1:6" ht="15.6" x14ac:dyDescent="0.3">
      <c r="A142" s="4" t="s">
        <v>152</v>
      </c>
      <c r="B142" s="29">
        <f>IFERROR(ROUND(PayGapsForMalesInRacialEthnicGroupsByOccupationalSeries[[#This Row],[AIAN Male Occ Dist]]*PayGapsForMalesInRacialEthnicGroupsByOccupationalSeries[[#This Row],[AIAN Male % White Male Avg Salary]],7),"")</f>
        <v>1.6079E-3</v>
      </c>
      <c r="C142" s="29">
        <f>IFERROR(ROUND(PayGapsForMalesInRacialEthnicGroupsByOccupationalSeries[[#This Row],[ANHPI Male Occ Dist]]*PayGapsForMalesInRacialEthnicGroupsByOccupationalSeries[[#This Row],[ANHPI Male % White Male Avg Salary]],7),"")</f>
        <v>5.9259999999999998E-4</v>
      </c>
      <c r="D142" s="29">
        <f>IFERROR(ROUND(PayGapsForMalesInRacialEthnicGroupsByOccupationalSeries[[#This Row],[Black Male Occ Dist]]*PayGapsForMalesInRacialEthnicGroupsByOccupationalSeries[[#This Row],[Black Male % White Male Avg Salary]],7),"")</f>
        <v>5.1999999999999995E-4</v>
      </c>
      <c r="E142" s="29">
        <f>IFERROR(ROUND(PayGapsForMalesInRacialEthnicGroupsByOccupationalSeries[[#This Row],[Hispanic - Latino Male Occ Dist]]*PayGapsForMalesInRacialEthnicGroupsByOccupationalSeries[[#This Row],[Hispanic Latino % White Male Avg Salary]],7),"")</f>
        <v>3.368E-4</v>
      </c>
      <c r="F14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43" spans="1:6" ht="15.6" x14ac:dyDescent="0.3">
      <c r="A143" s="4" t="s">
        <v>153</v>
      </c>
      <c r="B14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4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4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4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4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44" spans="1:6" ht="31.2" x14ac:dyDescent="0.3">
      <c r="A144" s="4" t="s">
        <v>154</v>
      </c>
      <c r="B14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4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4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4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4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45" spans="1:6" ht="31.2" x14ac:dyDescent="0.3">
      <c r="A145" s="4" t="s">
        <v>155</v>
      </c>
      <c r="B14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45" s="29">
        <f>IFERROR(ROUND(PayGapsForMalesInRacialEthnicGroupsByOccupationalSeries[[#This Row],[ANHPI Male Occ Dist]]*PayGapsForMalesInRacialEthnicGroupsByOccupationalSeries[[#This Row],[ANHPI Male % White Male Avg Salary]],7),"")</f>
        <v>1.0882000000000001E-3</v>
      </c>
      <c r="D145" s="29">
        <f>IFERROR(ROUND(PayGapsForMalesInRacialEthnicGroupsByOccupationalSeries[[#This Row],[Black Male Occ Dist]]*PayGapsForMalesInRacialEthnicGroupsByOccupationalSeries[[#This Row],[Black Male % White Male Avg Salary]],7),"")</f>
        <v>2.1749999999999999E-3</v>
      </c>
      <c r="E145" s="29">
        <f>IFERROR(ROUND(PayGapsForMalesInRacialEthnicGroupsByOccupationalSeries[[#This Row],[Hispanic - Latino Male Occ Dist]]*PayGapsForMalesInRacialEthnicGroupsByOccupationalSeries[[#This Row],[Hispanic Latino % White Male Avg Salary]],7),"")</f>
        <v>4.529E-4</v>
      </c>
      <c r="F14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46" spans="1:6" ht="15.6" x14ac:dyDescent="0.3">
      <c r="A146" s="4" t="s">
        <v>156</v>
      </c>
      <c r="B14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46" s="29">
        <f>IFERROR(ROUND(PayGapsForMalesInRacialEthnicGroupsByOccupationalSeries[[#This Row],[ANHPI Male Occ Dist]]*PayGapsForMalesInRacialEthnicGroupsByOccupationalSeries[[#This Row],[ANHPI Male % White Male Avg Salary]],7),"")</f>
        <v>9.121E-4</v>
      </c>
      <c r="D146" s="29">
        <f>IFERROR(ROUND(PayGapsForMalesInRacialEthnicGroupsByOccupationalSeries[[#This Row],[Black Male Occ Dist]]*PayGapsForMalesInRacialEthnicGroupsByOccupationalSeries[[#This Row],[Black Male % White Male Avg Salary]],7),"")</f>
        <v>6.2359999999999998E-4</v>
      </c>
      <c r="E146" s="29">
        <f>IFERROR(ROUND(PayGapsForMalesInRacialEthnicGroupsByOccupationalSeries[[#This Row],[Hispanic - Latino Male Occ Dist]]*PayGapsForMalesInRacialEthnicGroupsByOccupationalSeries[[#This Row],[Hispanic Latino % White Male Avg Salary]],7),"")</f>
        <v>5.6369999999999999E-4</v>
      </c>
      <c r="F14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47" spans="1:6" ht="15.6" x14ac:dyDescent="0.3">
      <c r="A147" s="4" t="s">
        <v>157</v>
      </c>
      <c r="B14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47" s="29">
        <f>IFERROR(ROUND(PayGapsForMalesInRacialEthnicGroupsByOccupationalSeries[[#This Row],[ANHPI Male Occ Dist]]*PayGapsForMalesInRacialEthnicGroupsByOccupationalSeries[[#This Row],[ANHPI Male % White Male Avg Salary]],7),"")</f>
        <v>3.4930999999999999E-3</v>
      </c>
      <c r="D147" s="29">
        <f>IFERROR(ROUND(PayGapsForMalesInRacialEthnicGroupsByOccupationalSeries[[#This Row],[Black Male Occ Dist]]*PayGapsForMalesInRacialEthnicGroupsByOccupationalSeries[[#This Row],[Black Male % White Male Avg Salary]],7),"")</f>
        <v>1.5535E-3</v>
      </c>
      <c r="E147" s="29">
        <f>IFERROR(ROUND(PayGapsForMalesInRacialEthnicGroupsByOccupationalSeries[[#This Row],[Hispanic - Latino Male Occ Dist]]*PayGapsForMalesInRacialEthnicGroupsByOccupationalSeries[[#This Row],[Hispanic Latino % White Male Avg Salary]],7),"")</f>
        <v>1.3786E-3</v>
      </c>
      <c r="F14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48" spans="1:6" ht="15.6" x14ac:dyDescent="0.3">
      <c r="A148" s="4" t="s">
        <v>158</v>
      </c>
      <c r="B14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4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48" s="29">
        <f>IFERROR(ROUND(PayGapsForMalesInRacialEthnicGroupsByOccupationalSeries[[#This Row],[Black Male Occ Dist]]*PayGapsForMalesInRacialEthnicGroupsByOccupationalSeries[[#This Row],[Black Male % White Male Avg Salary]],7),"")</f>
        <v>5.2269999999999997E-4</v>
      </c>
      <c r="E14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4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49" spans="1:6" ht="15.6" x14ac:dyDescent="0.3">
      <c r="A149" s="4" t="s">
        <v>159</v>
      </c>
      <c r="B14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4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49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4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4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50" spans="1:6" ht="15.6" x14ac:dyDescent="0.3">
      <c r="A150" s="4" t="s">
        <v>160</v>
      </c>
      <c r="B150" s="29">
        <f>IFERROR(ROUND(PayGapsForMalesInRacialEthnicGroupsByOccupationalSeries[[#This Row],[AIAN Male Occ Dist]]*PayGapsForMalesInRacialEthnicGroupsByOccupationalSeries[[#This Row],[AIAN Male % White Male Avg Salary]],7),"")</f>
        <v>1.3582500000000001E-2</v>
      </c>
      <c r="C150" s="29">
        <f>IFERROR(ROUND(PayGapsForMalesInRacialEthnicGroupsByOccupationalSeries[[#This Row],[ANHPI Male Occ Dist]]*PayGapsForMalesInRacialEthnicGroupsByOccupationalSeries[[#This Row],[ANHPI Male % White Male Avg Salary]],7),"")</f>
        <v>3.2482999999999998E-2</v>
      </c>
      <c r="D150" s="29">
        <f>IFERROR(ROUND(PayGapsForMalesInRacialEthnicGroupsByOccupationalSeries[[#This Row],[Black Male Occ Dist]]*PayGapsForMalesInRacialEthnicGroupsByOccupationalSeries[[#This Row],[Black Male % White Male Avg Salary]],7),"")</f>
        <v>1.0892499999999999E-2</v>
      </c>
      <c r="E150" s="29">
        <f>IFERROR(ROUND(PayGapsForMalesInRacialEthnicGroupsByOccupationalSeries[[#This Row],[Hispanic - Latino Male Occ Dist]]*PayGapsForMalesInRacialEthnicGroupsByOccupationalSeries[[#This Row],[Hispanic Latino % White Male Avg Salary]],7),"")</f>
        <v>1.5397299999999999E-2</v>
      </c>
      <c r="F150" s="81">
        <f>IFERROR(ROUND(PayGapsForMalesInRacialEthnicGroupsByOccupationalSeries[[#This Row],[Other Male Occ Dist]]*PayGapsForMalesInRacialEthnicGroupsByOccupationalSeries[[#This Row],[Other Male % White Male Salary]],7),"")</f>
        <v>2.02594E-2</v>
      </c>
    </row>
    <row r="151" spans="1:6" ht="15.6" x14ac:dyDescent="0.3">
      <c r="A151" s="4" t="s">
        <v>161</v>
      </c>
      <c r="B151" s="29">
        <f>IFERROR(ROUND(PayGapsForMalesInRacialEthnicGroupsByOccupationalSeries[[#This Row],[AIAN Male Occ Dist]]*PayGapsForMalesInRacialEthnicGroupsByOccupationalSeries[[#This Row],[AIAN Male % White Male Avg Salary]],7),"")</f>
        <v>1.9433499999999999E-2</v>
      </c>
      <c r="C151" s="29">
        <f>IFERROR(ROUND(PayGapsForMalesInRacialEthnicGroupsByOccupationalSeries[[#This Row],[ANHPI Male Occ Dist]]*PayGapsForMalesInRacialEthnicGroupsByOccupationalSeries[[#This Row],[ANHPI Male % White Male Avg Salary]],7),"")</f>
        <v>9.9687000000000005E-3</v>
      </c>
      <c r="D151" s="29">
        <f>IFERROR(ROUND(PayGapsForMalesInRacialEthnicGroupsByOccupationalSeries[[#This Row],[Black Male Occ Dist]]*PayGapsForMalesInRacialEthnicGroupsByOccupationalSeries[[#This Row],[Black Male % White Male Avg Salary]],7),"")</f>
        <v>8.3274999999999998E-3</v>
      </c>
      <c r="E151" s="29">
        <f>IFERROR(ROUND(PayGapsForMalesInRacialEthnicGroupsByOccupationalSeries[[#This Row],[Hispanic - Latino Male Occ Dist]]*PayGapsForMalesInRacialEthnicGroupsByOccupationalSeries[[#This Row],[Hispanic Latino % White Male Avg Salary]],7),"")</f>
        <v>8.3361000000000008E-3</v>
      </c>
      <c r="F151" s="81">
        <f>IFERROR(ROUND(PayGapsForMalesInRacialEthnicGroupsByOccupationalSeries[[#This Row],[Other Male Occ Dist]]*PayGapsForMalesInRacialEthnicGroupsByOccupationalSeries[[#This Row],[Other Male % White Male Salary]],7),"")</f>
        <v>1.34997E-2</v>
      </c>
    </row>
    <row r="152" spans="1:6" ht="15.6" x14ac:dyDescent="0.3">
      <c r="A152" s="4" t="s">
        <v>162</v>
      </c>
      <c r="B15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5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52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5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5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53" spans="1:6" ht="15.6" x14ac:dyDescent="0.3">
      <c r="A153" s="4" t="s">
        <v>163</v>
      </c>
      <c r="B15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5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5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5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5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54" spans="1:6" ht="15.6" x14ac:dyDescent="0.3">
      <c r="A154" s="4" t="s">
        <v>164</v>
      </c>
      <c r="B15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54" s="29">
        <f>IFERROR(ROUND(PayGapsForMalesInRacialEthnicGroupsByOccupationalSeries[[#This Row],[ANHPI Male Occ Dist]]*PayGapsForMalesInRacialEthnicGroupsByOccupationalSeries[[#This Row],[ANHPI Male % White Male Avg Salary]],7),"")</f>
        <v>1.5715E-3</v>
      </c>
      <c r="D15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5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5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55" spans="1:6" ht="15.6" x14ac:dyDescent="0.3">
      <c r="A155" s="4" t="s">
        <v>165</v>
      </c>
      <c r="B15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5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5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5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5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56" spans="1:6" ht="15.6" x14ac:dyDescent="0.3">
      <c r="A156" s="4" t="s">
        <v>166</v>
      </c>
      <c r="B15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56" s="29">
        <f>IFERROR(ROUND(PayGapsForMalesInRacialEthnicGroupsByOccupationalSeries[[#This Row],[ANHPI Male Occ Dist]]*PayGapsForMalesInRacialEthnicGroupsByOccupationalSeries[[#This Row],[ANHPI Male % White Male Avg Salary]],7),"")</f>
        <v>2.1386999999999999E-3</v>
      </c>
      <c r="D156" s="29">
        <f>IFERROR(ROUND(PayGapsForMalesInRacialEthnicGroupsByOccupationalSeries[[#This Row],[Black Male Occ Dist]]*PayGapsForMalesInRacialEthnicGroupsByOccupationalSeries[[#This Row],[Black Male % White Male Avg Salary]],7),"")</f>
        <v>9.6540000000000005E-4</v>
      </c>
      <c r="E156" s="29">
        <f>IFERROR(ROUND(PayGapsForMalesInRacialEthnicGroupsByOccupationalSeries[[#This Row],[Hispanic - Latino Male Occ Dist]]*PayGapsForMalesInRacialEthnicGroupsByOccupationalSeries[[#This Row],[Hispanic Latino % White Male Avg Salary]],7),"")</f>
        <v>8.2359999999999996E-4</v>
      </c>
      <c r="F15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57" spans="1:6" ht="15.6" x14ac:dyDescent="0.3">
      <c r="A157" s="4" t="s">
        <v>167</v>
      </c>
      <c r="B15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5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57" s="29">
        <f>IFERROR(ROUND(PayGapsForMalesInRacialEthnicGroupsByOccupationalSeries[[#This Row],[Black Male Occ Dist]]*PayGapsForMalesInRacialEthnicGroupsByOccupationalSeries[[#This Row],[Black Male % White Male Avg Salary]],7),"")</f>
        <v>1.2967E-3</v>
      </c>
      <c r="E157" s="29">
        <f>IFERROR(ROUND(PayGapsForMalesInRacialEthnicGroupsByOccupationalSeries[[#This Row],[Hispanic - Latino Male Occ Dist]]*PayGapsForMalesInRacialEthnicGroupsByOccupationalSeries[[#This Row],[Hispanic Latino % White Male Avg Salary]],7),"")</f>
        <v>1.139E-3</v>
      </c>
      <c r="F15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58" spans="1:6" ht="15.6" x14ac:dyDescent="0.3">
      <c r="A158" s="4" t="s">
        <v>168</v>
      </c>
      <c r="B158" s="29">
        <f>IFERROR(ROUND(PayGapsForMalesInRacialEthnicGroupsByOccupationalSeries[[#This Row],[AIAN Male Occ Dist]]*PayGapsForMalesInRacialEthnicGroupsByOccupationalSeries[[#This Row],[AIAN Male % White Male Avg Salary]],7),"")</f>
        <v>8.9768000000000001E-3</v>
      </c>
      <c r="C158" s="29">
        <f>IFERROR(ROUND(PayGapsForMalesInRacialEthnicGroupsByOccupationalSeries[[#This Row],[ANHPI Male Occ Dist]]*PayGapsForMalesInRacialEthnicGroupsByOccupationalSeries[[#This Row],[ANHPI Male % White Male Avg Salary]],7),"")</f>
        <v>1.3298300000000001E-2</v>
      </c>
      <c r="D158" s="29">
        <f>IFERROR(ROUND(PayGapsForMalesInRacialEthnicGroupsByOccupationalSeries[[#This Row],[Black Male Occ Dist]]*PayGapsForMalesInRacialEthnicGroupsByOccupationalSeries[[#This Row],[Black Male % White Male Avg Salary]],7),"")</f>
        <v>3.0534999999999998E-3</v>
      </c>
      <c r="E158" s="29">
        <f>IFERROR(ROUND(PayGapsForMalesInRacialEthnicGroupsByOccupationalSeries[[#This Row],[Hispanic - Latino Male Occ Dist]]*PayGapsForMalesInRacialEthnicGroupsByOccupationalSeries[[#This Row],[Hispanic Latino % White Male Avg Salary]],7),"")</f>
        <v>6.62E-3</v>
      </c>
      <c r="F158" s="81">
        <f>IFERROR(ROUND(PayGapsForMalesInRacialEthnicGroupsByOccupationalSeries[[#This Row],[Other Male Occ Dist]]*PayGapsForMalesInRacialEthnicGroupsByOccupationalSeries[[#This Row],[Other Male % White Male Salary]],7),"")</f>
        <v>6.8510000000000003E-3</v>
      </c>
    </row>
    <row r="159" spans="1:6" ht="15.6" x14ac:dyDescent="0.3">
      <c r="A159" s="4" t="s">
        <v>169</v>
      </c>
      <c r="B15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5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59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5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5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60" spans="1:6" ht="15.6" x14ac:dyDescent="0.3">
      <c r="A160" s="4" t="s">
        <v>170</v>
      </c>
      <c r="B16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60" s="29">
        <f>IFERROR(ROUND(PayGapsForMalesInRacialEthnicGroupsByOccupationalSeries[[#This Row],[ANHPI Male Occ Dist]]*PayGapsForMalesInRacialEthnicGroupsByOccupationalSeries[[#This Row],[ANHPI Male % White Male Avg Salary]],7),"")</f>
        <v>3.4998E-3</v>
      </c>
      <c r="D160" s="29">
        <f>IFERROR(ROUND(PayGapsForMalesInRacialEthnicGroupsByOccupationalSeries[[#This Row],[Black Male Occ Dist]]*PayGapsForMalesInRacialEthnicGroupsByOccupationalSeries[[#This Row],[Black Male % White Male Avg Salary]],7),"")</f>
        <v>8.8310000000000005E-4</v>
      </c>
      <c r="E160" s="29">
        <f>IFERROR(ROUND(PayGapsForMalesInRacialEthnicGroupsByOccupationalSeries[[#This Row],[Hispanic - Latino Male Occ Dist]]*PayGapsForMalesInRacialEthnicGroupsByOccupationalSeries[[#This Row],[Hispanic Latino % White Male Avg Salary]],7),"")</f>
        <v>1.5889000000000001E-3</v>
      </c>
      <c r="F16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61" spans="1:6" ht="15.6" x14ac:dyDescent="0.3">
      <c r="A161" s="4" t="s">
        <v>326</v>
      </c>
      <c r="B16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6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61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6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6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62" spans="1:6" ht="15.6" x14ac:dyDescent="0.3">
      <c r="A162" s="4" t="s">
        <v>171</v>
      </c>
      <c r="B16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62" s="29">
        <f>IFERROR(ROUND(PayGapsForMalesInRacialEthnicGroupsByOccupationalSeries[[#This Row],[ANHPI Male Occ Dist]]*PayGapsForMalesInRacialEthnicGroupsByOccupationalSeries[[#This Row],[ANHPI Male % White Male Avg Salary]],7),"")</f>
        <v>1.7805700000000001E-2</v>
      </c>
      <c r="D162" s="29">
        <f>IFERROR(ROUND(PayGapsForMalesInRacialEthnicGroupsByOccupationalSeries[[#This Row],[Black Male Occ Dist]]*PayGapsForMalesInRacialEthnicGroupsByOccupationalSeries[[#This Row],[Black Male % White Male Avg Salary]],7),"")</f>
        <v>3.0636999999999999E-3</v>
      </c>
      <c r="E162" s="29">
        <f>IFERROR(ROUND(PayGapsForMalesInRacialEthnicGroupsByOccupationalSeries[[#This Row],[Hispanic - Latino Male Occ Dist]]*PayGapsForMalesInRacialEthnicGroupsByOccupationalSeries[[#This Row],[Hispanic Latino % White Male Avg Salary]],7),"")</f>
        <v>7.5690000000000002E-3</v>
      </c>
      <c r="F162" s="81">
        <f>IFERROR(ROUND(PayGapsForMalesInRacialEthnicGroupsByOccupationalSeries[[#This Row],[Other Male Occ Dist]]*PayGapsForMalesInRacialEthnicGroupsByOccupationalSeries[[#This Row],[Other Male % White Male Salary]],7),"")</f>
        <v>1.2829699999999999E-2</v>
      </c>
    </row>
    <row r="163" spans="1:6" ht="15.6" x14ac:dyDescent="0.3">
      <c r="A163" s="4" t="s">
        <v>172</v>
      </c>
      <c r="B16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63" s="29">
        <f>IFERROR(ROUND(PayGapsForMalesInRacialEthnicGroupsByOccupationalSeries[[#This Row],[ANHPI Male Occ Dist]]*PayGapsForMalesInRacialEthnicGroupsByOccupationalSeries[[#This Row],[ANHPI Male % White Male Avg Salary]],7),"")</f>
        <v>4.1210999999999999E-3</v>
      </c>
      <c r="D163" s="29">
        <f>IFERROR(ROUND(PayGapsForMalesInRacialEthnicGroupsByOccupationalSeries[[#This Row],[Black Male Occ Dist]]*PayGapsForMalesInRacialEthnicGroupsByOccupationalSeries[[#This Row],[Black Male % White Male Avg Salary]],7),"")</f>
        <v>4.819E-4</v>
      </c>
      <c r="E163" s="29">
        <f>IFERROR(ROUND(PayGapsForMalesInRacialEthnicGroupsByOccupationalSeries[[#This Row],[Hispanic - Latino Male Occ Dist]]*PayGapsForMalesInRacialEthnicGroupsByOccupationalSeries[[#This Row],[Hispanic Latino % White Male Avg Salary]],7),"")</f>
        <v>8.1229999999999996E-4</v>
      </c>
      <c r="F163" s="81">
        <f>IFERROR(ROUND(PayGapsForMalesInRacialEthnicGroupsByOccupationalSeries[[#This Row],[Other Male Occ Dist]]*PayGapsForMalesInRacialEthnicGroupsByOccupationalSeries[[#This Row],[Other Male % White Male Salary]],7),"")</f>
        <v>4.2037999999999997E-3</v>
      </c>
    </row>
    <row r="164" spans="1:6" ht="15.6" x14ac:dyDescent="0.3">
      <c r="A164" s="4" t="s">
        <v>173</v>
      </c>
      <c r="B16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64" s="29">
        <f>IFERROR(ROUND(PayGapsForMalesInRacialEthnicGroupsByOccupationalSeries[[#This Row],[ANHPI Male Occ Dist]]*PayGapsForMalesInRacialEthnicGroupsByOccupationalSeries[[#This Row],[ANHPI Male % White Male Avg Salary]],7),"")</f>
        <v>1.21189E-2</v>
      </c>
      <c r="D164" s="29">
        <f>IFERROR(ROUND(PayGapsForMalesInRacialEthnicGroupsByOccupationalSeries[[#This Row],[Black Male Occ Dist]]*PayGapsForMalesInRacialEthnicGroupsByOccupationalSeries[[#This Row],[Black Male % White Male Avg Salary]],7),"")</f>
        <v>2.9543999999999998E-3</v>
      </c>
      <c r="E164" s="29">
        <f>IFERROR(ROUND(PayGapsForMalesInRacialEthnicGroupsByOccupationalSeries[[#This Row],[Hispanic - Latino Male Occ Dist]]*PayGapsForMalesInRacialEthnicGroupsByOccupationalSeries[[#This Row],[Hispanic Latino % White Male Avg Salary]],7),"")</f>
        <v>3.7261E-3</v>
      </c>
      <c r="F164" s="81">
        <f>IFERROR(ROUND(PayGapsForMalesInRacialEthnicGroupsByOccupationalSeries[[#This Row],[Other Male Occ Dist]]*PayGapsForMalesInRacialEthnicGroupsByOccupationalSeries[[#This Row],[Other Male % White Male Salary]],7),"")</f>
        <v>4.9192999999999997E-3</v>
      </c>
    </row>
    <row r="165" spans="1:6" ht="15.6" x14ac:dyDescent="0.3">
      <c r="A165" s="4" t="s">
        <v>174</v>
      </c>
      <c r="B16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65" s="29">
        <f>IFERROR(ROUND(PayGapsForMalesInRacialEthnicGroupsByOccupationalSeries[[#This Row],[ANHPI Male Occ Dist]]*PayGapsForMalesInRacialEthnicGroupsByOccupationalSeries[[#This Row],[ANHPI Male % White Male Avg Salary]],7),"")</f>
        <v>1.03663E-2</v>
      </c>
      <c r="D165" s="29">
        <f>IFERROR(ROUND(PayGapsForMalesInRacialEthnicGroupsByOccupationalSeries[[#This Row],[Black Male Occ Dist]]*PayGapsForMalesInRacialEthnicGroupsByOccupationalSeries[[#This Row],[Black Male % White Male Avg Salary]],7),"")</f>
        <v>2.0121000000000002E-3</v>
      </c>
      <c r="E165" s="29">
        <f>IFERROR(ROUND(PayGapsForMalesInRacialEthnicGroupsByOccupationalSeries[[#This Row],[Hispanic - Latino Male Occ Dist]]*PayGapsForMalesInRacialEthnicGroupsByOccupationalSeries[[#This Row],[Hispanic Latino % White Male Avg Salary]],7),"")</f>
        <v>3.3134000000000002E-3</v>
      </c>
      <c r="F16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66" spans="1:6" ht="15.6" x14ac:dyDescent="0.3">
      <c r="A166" s="4" t="s">
        <v>175</v>
      </c>
      <c r="B16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66" s="29">
        <f>IFERROR(ROUND(PayGapsForMalesInRacialEthnicGroupsByOccupationalSeries[[#This Row],[ANHPI Male Occ Dist]]*PayGapsForMalesInRacialEthnicGroupsByOccupationalSeries[[#This Row],[ANHPI Male % White Male Avg Salary]],7),"")</f>
        <v>3.6239599999999997E-2</v>
      </c>
      <c r="D166" s="29">
        <f>IFERROR(ROUND(PayGapsForMalesInRacialEthnicGroupsByOccupationalSeries[[#This Row],[Black Male Occ Dist]]*PayGapsForMalesInRacialEthnicGroupsByOccupationalSeries[[#This Row],[Black Male % White Male Avg Salary]],7),"")</f>
        <v>6.7459E-3</v>
      </c>
      <c r="E166" s="29">
        <f>IFERROR(ROUND(PayGapsForMalesInRacialEthnicGroupsByOccupationalSeries[[#This Row],[Hispanic - Latino Male Occ Dist]]*PayGapsForMalesInRacialEthnicGroupsByOccupationalSeries[[#This Row],[Hispanic Latino % White Male Avg Salary]],7),"")</f>
        <v>1.0812499999999999E-2</v>
      </c>
      <c r="F166" s="81">
        <f>IFERROR(ROUND(PayGapsForMalesInRacialEthnicGroupsByOccupationalSeries[[#This Row],[Other Male Occ Dist]]*PayGapsForMalesInRacialEthnicGroupsByOccupationalSeries[[#This Row],[Other Male % White Male Salary]],7),"")</f>
        <v>1.3686500000000001E-2</v>
      </c>
    </row>
    <row r="167" spans="1:6" ht="15.6" x14ac:dyDescent="0.3">
      <c r="A167" s="4" t="s">
        <v>176</v>
      </c>
      <c r="B16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67" s="29">
        <f>IFERROR(ROUND(PayGapsForMalesInRacialEthnicGroupsByOccupationalSeries[[#This Row],[ANHPI Male Occ Dist]]*PayGapsForMalesInRacialEthnicGroupsByOccupationalSeries[[#This Row],[ANHPI Male % White Male Avg Salary]],7),"")</f>
        <v>4.8476999999999999E-3</v>
      </c>
      <c r="D167" s="29">
        <f>IFERROR(ROUND(PayGapsForMalesInRacialEthnicGroupsByOccupationalSeries[[#This Row],[Black Male Occ Dist]]*PayGapsForMalesInRacialEthnicGroupsByOccupationalSeries[[#This Row],[Black Male % White Male Avg Salary]],7),"")</f>
        <v>4.7856000000000001E-3</v>
      </c>
      <c r="E167" s="29">
        <f>IFERROR(ROUND(PayGapsForMalesInRacialEthnicGroupsByOccupationalSeries[[#This Row],[Hispanic - Latino Male Occ Dist]]*PayGapsForMalesInRacialEthnicGroupsByOccupationalSeries[[#This Row],[Hispanic Latino % White Male Avg Salary]],7),"")</f>
        <v>6.2838E-3</v>
      </c>
      <c r="F167" s="81">
        <f>IFERROR(ROUND(PayGapsForMalesInRacialEthnicGroupsByOccupationalSeries[[#This Row],[Other Male Occ Dist]]*PayGapsForMalesInRacialEthnicGroupsByOccupationalSeries[[#This Row],[Other Male % White Male Salary]],7),"")</f>
        <v>9.5487000000000002E-3</v>
      </c>
    </row>
    <row r="168" spans="1:6" ht="31.2" x14ac:dyDescent="0.3">
      <c r="A168" s="4" t="s">
        <v>177</v>
      </c>
      <c r="B16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68" s="29">
        <f>IFERROR(ROUND(PayGapsForMalesInRacialEthnicGroupsByOccupationalSeries[[#This Row],[ANHPI Male Occ Dist]]*PayGapsForMalesInRacialEthnicGroupsByOccupationalSeries[[#This Row],[ANHPI Male % White Male Avg Salary]],7),"")</f>
        <v>1.2197E-3</v>
      </c>
      <c r="D168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6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6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69" spans="1:6" ht="15.6" x14ac:dyDescent="0.3">
      <c r="A169" s="4" t="s">
        <v>178</v>
      </c>
      <c r="B16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69" s="29">
        <f>IFERROR(ROUND(PayGapsForMalesInRacialEthnicGroupsByOccupationalSeries[[#This Row],[ANHPI Male Occ Dist]]*PayGapsForMalesInRacialEthnicGroupsByOccupationalSeries[[#This Row],[ANHPI Male % White Male Avg Salary]],7),"")</f>
        <v>1.05307E-2</v>
      </c>
      <c r="D169" s="29">
        <f>IFERROR(ROUND(PayGapsForMalesInRacialEthnicGroupsByOccupationalSeries[[#This Row],[Black Male Occ Dist]]*PayGapsForMalesInRacialEthnicGroupsByOccupationalSeries[[#This Row],[Black Male % White Male Avg Salary]],7),"")</f>
        <v>2.2931000000000002E-3</v>
      </c>
      <c r="E169" s="29">
        <f>IFERROR(ROUND(PayGapsForMalesInRacialEthnicGroupsByOccupationalSeries[[#This Row],[Hispanic - Latino Male Occ Dist]]*PayGapsForMalesInRacialEthnicGroupsByOccupationalSeries[[#This Row],[Hispanic Latino % White Male Avg Salary]],7),"")</f>
        <v>5.1935000000000002E-3</v>
      </c>
      <c r="F169" s="81">
        <f>IFERROR(ROUND(PayGapsForMalesInRacialEthnicGroupsByOccupationalSeries[[#This Row],[Other Male Occ Dist]]*PayGapsForMalesInRacialEthnicGroupsByOccupationalSeries[[#This Row],[Other Male % White Male Salary]],7),"")</f>
        <v>5.2011000000000002E-3</v>
      </c>
    </row>
    <row r="170" spans="1:6" ht="15.6" x14ac:dyDescent="0.3">
      <c r="A170" s="4" t="s">
        <v>179</v>
      </c>
      <c r="B17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70" s="29">
        <f>IFERROR(ROUND(PayGapsForMalesInRacialEthnicGroupsByOccupationalSeries[[#This Row],[ANHPI Male Occ Dist]]*PayGapsForMalesInRacialEthnicGroupsByOccupationalSeries[[#This Row],[ANHPI Male % White Male Avg Salary]],7),"")</f>
        <v>1.1766000000000001E-3</v>
      </c>
      <c r="D170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7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7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71" spans="1:6" ht="15.6" x14ac:dyDescent="0.3">
      <c r="A171" s="4" t="s">
        <v>180</v>
      </c>
      <c r="B17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7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71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7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7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72" spans="1:6" ht="15.6" x14ac:dyDescent="0.3">
      <c r="A172" s="4" t="s">
        <v>181</v>
      </c>
      <c r="B17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7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72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7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7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73" spans="1:6" ht="15.6" x14ac:dyDescent="0.3">
      <c r="A173" s="4" t="s">
        <v>182</v>
      </c>
      <c r="B17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7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7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7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7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74" spans="1:6" ht="15.6" x14ac:dyDescent="0.3">
      <c r="A174" s="4" t="s">
        <v>183</v>
      </c>
      <c r="B17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74" s="29">
        <f>IFERROR(ROUND(PayGapsForMalesInRacialEthnicGroupsByOccupationalSeries[[#This Row],[ANHPI Male Occ Dist]]*PayGapsForMalesInRacialEthnicGroupsByOccupationalSeries[[#This Row],[ANHPI Male % White Male Avg Salary]],7),"")</f>
        <v>1.1709999999999999E-3</v>
      </c>
      <c r="D17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7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7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75" spans="1:6" ht="31.2" x14ac:dyDescent="0.3">
      <c r="A175" s="4" t="s">
        <v>184</v>
      </c>
      <c r="B17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7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7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7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7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76" spans="1:6" ht="15.6" x14ac:dyDescent="0.3">
      <c r="A176" s="4" t="s">
        <v>185</v>
      </c>
      <c r="B17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7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7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7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7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77" spans="1:6" ht="31.2" x14ac:dyDescent="0.3">
      <c r="A177" s="4" t="s">
        <v>186</v>
      </c>
      <c r="B17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7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77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7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7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78" spans="1:6" ht="31.2" x14ac:dyDescent="0.3">
      <c r="A178" s="4" t="s">
        <v>187</v>
      </c>
      <c r="B178" s="29">
        <f>IFERROR(ROUND(PayGapsForMalesInRacialEthnicGroupsByOccupationalSeries[[#This Row],[AIAN Male Occ Dist]]*PayGapsForMalesInRacialEthnicGroupsByOccupationalSeries[[#This Row],[AIAN Male % White Male Avg Salary]],7),"")</f>
        <v>2.3099000000000001E-3</v>
      </c>
      <c r="C178" s="29">
        <f>IFERROR(ROUND(PayGapsForMalesInRacialEthnicGroupsByOccupationalSeries[[#This Row],[ANHPI Male Occ Dist]]*PayGapsForMalesInRacialEthnicGroupsByOccupationalSeries[[#This Row],[ANHPI Male % White Male Avg Salary]],7),"")</f>
        <v>3.2460000000000002E-3</v>
      </c>
      <c r="D178" s="29">
        <f>IFERROR(ROUND(PayGapsForMalesInRacialEthnicGroupsByOccupationalSeries[[#This Row],[Black Male Occ Dist]]*PayGapsForMalesInRacialEthnicGroupsByOccupationalSeries[[#This Row],[Black Male % White Male Avg Salary]],7),"")</f>
        <v>5.7153999999999998E-3</v>
      </c>
      <c r="E178" s="29">
        <f>IFERROR(ROUND(PayGapsForMalesInRacialEthnicGroupsByOccupationalSeries[[#This Row],[Hispanic - Latino Male Occ Dist]]*PayGapsForMalesInRacialEthnicGroupsByOccupationalSeries[[#This Row],[Hispanic Latino % White Male Avg Salary]],7),"")</f>
        <v>2.7640999999999998E-3</v>
      </c>
      <c r="F178" s="81">
        <f>IFERROR(ROUND(PayGapsForMalesInRacialEthnicGroupsByOccupationalSeries[[#This Row],[Other Male Occ Dist]]*PayGapsForMalesInRacialEthnicGroupsByOccupationalSeries[[#This Row],[Other Male % White Male Salary]],7),"")</f>
        <v>1.9615000000000001E-3</v>
      </c>
    </row>
    <row r="179" spans="1:6" ht="15.6" x14ac:dyDescent="0.3">
      <c r="A179" s="4" t="s">
        <v>188</v>
      </c>
      <c r="B179" s="29">
        <f>IFERROR(ROUND(PayGapsForMalesInRacialEthnicGroupsByOccupationalSeries[[#This Row],[AIAN Male Occ Dist]]*PayGapsForMalesInRacialEthnicGroupsByOccupationalSeries[[#This Row],[AIAN Male % White Male Avg Salary]],7),"")</f>
        <v>5.7413000000000004E-3</v>
      </c>
      <c r="C179" s="29">
        <f>IFERROR(ROUND(PayGapsForMalesInRacialEthnicGroupsByOccupationalSeries[[#This Row],[ANHPI Male Occ Dist]]*PayGapsForMalesInRacialEthnicGroupsByOccupationalSeries[[#This Row],[ANHPI Male % White Male Avg Salary]],7),"")</f>
        <v>1.5877599999999999E-2</v>
      </c>
      <c r="D179" s="29">
        <f>IFERROR(ROUND(PayGapsForMalesInRacialEthnicGroupsByOccupationalSeries[[#This Row],[Black Male Occ Dist]]*PayGapsForMalesInRacialEthnicGroupsByOccupationalSeries[[#This Row],[Black Male % White Male Avg Salary]],7),"")</f>
        <v>7.2949E-3</v>
      </c>
      <c r="E179" s="29">
        <f>IFERROR(ROUND(PayGapsForMalesInRacialEthnicGroupsByOccupationalSeries[[#This Row],[Hispanic - Latino Male Occ Dist]]*PayGapsForMalesInRacialEthnicGroupsByOccupationalSeries[[#This Row],[Hispanic Latino % White Male Avg Salary]],7),"")</f>
        <v>9.0053000000000008E-3</v>
      </c>
      <c r="F179" s="81">
        <f>IFERROR(ROUND(PayGapsForMalesInRacialEthnicGroupsByOccupationalSeries[[#This Row],[Other Male Occ Dist]]*PayGapsForMalesInRacialEthnicGroupsByOccupationalSeries[[#This Row],[Other Male % White Male Salary]],7),"")</f>
        <v>1.2810999999999999E-2</v>
      </c>
    </row>
    <row r="180" spans="1:6" ht="15.6" x14ac:dyDescent="0.3">
      <c r="A180" s="4" t="s">
        <v>189</v>
      </c>
      <c r="B18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80" s="29">
        <f>IFERROR(ROUND(PayGapsForMalesInRacialEthnicGroupsByOccupationalSeries[[#This Row],[ANHPI Male Occ Dist]]*PayGapsForMalesInRacialEthnicGroupsByOccupationalSeries[[#This Row],[ANHPI Male % White Male Avg Salary]],7),"")</f>
        <v>1.3882E-3</v>
      </c>
      <c r="D180" s="29">
        <f>IFERROR(ROUND(PayGapsForMalesInRacialEthnicGroupsByOccupationalSeries[[#This Row],[Black Male Occ Dist]]*PayGapsForMalesInRacialEthnicGroupsByOccupationalSeries[[#This Row],[Black Male % White Male Avg Salary]],7),"")</f>
        <v>1.0256E-3</v>
      </c>
      <c r="E180" s="29">
        <f>IFERROR(ROUND(PayGapsForMalesInRacialEthnicGroupsByOccupationalSeries[[#This Row],[Hispanic - Latino Male Occ Dist]]*PayGapsForMalesInRacialEthnicGroupsByOccupationalSeries[[#This Row],[Hispanic Latino % White Male Avg Salary]],7),"")</f>
        <v>1.2879E-3</v>
      </c>
      <c r="F18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81" spans="1:6" ht="15.6" x14ac:dyDescent="0.3">
      <c r="A181" s="4" t="s">
        <v>190</v>
      </c>
      <c r="B18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8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81" s="29">
        <f>IFERROR(ROUND(PayGapsForMalesInRacialEthnicGroupsByOccupationalSeries[[#This Row],[Black Male Occ Dist]]*PayGapsForMalesInRacialEthnicGroupsByOccupationalSeries[[#This Row],[Black Male % White Male Avg Salary]],7),"")</f>
        <v>3.2909999999999998E-4</v>
      </c>
      <c r="E18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8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82" spans="1:6" ht="15.6" x14ac:dyDescent="0.3">
      <c r="A182" s="4" t="s">
        <v>191</v>
      </c>
      <c r="B18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82" s="29">
        <f>IFERROR(ROUND(PayGapsForMalesInRacialEthnicGroupsByOccupationalSeries[[#This Row],[ANHPI Male Occ Dist]]*PayGapsForMalesInRacialEthnicGroupsByOccupationalSeries[[#This Row],[ANHPI Male % White Male Avg Salary]],7),"")</f>
        <v>1.0145E-3</v>
      </c>
      <c r="D182" s="29">
        <f>IFERROR(ROUND(PayGapsForMalesInRacialEthnicGroupsByOccupationalSeries[[#This Row],[Black Male Occ Dist]]*PayGapsForMalesInRacialEthnicGroupsByOccupationalSeries[[#This Row],[Black Male % White Male Avg Salary]],7),"")</f>
        <v>2.3942999999999998E-3</v>
      </c>
      <c r="E182" s="29">
        <f>IFERROR(ROUND(PayGapsForMalesInRacialEthnicGroupsByOccupationalSeries[[#This Row],[Hispanic - Latino Male Occ Dist]]*PayGapsForMalesInRacialEthnicGroupsByOccupationalSeries[[#This Row],[Hispanic Latino % White Male Avg Salary]],7),"")</f>
        <v>1.2929E-3</v>
      </c>
      <c r="F182" s="81">
        <f>IFERROR(ROUND(PayGapsForMalesInRacialEthnicGroupsByOccupationalSeries[[#This Row],[Other Male Occ Dist]]*PayGapsForMalesInRacialEthnicGroupsByOccupationalSeries[[#This Row],[Other Male % White Male Salary]],7),"")</f>
        <v>1.3418E-3</v>
      </c>
    </row>
    <row r="183" spans="1:6" ht="15.6" x14ac:dyDescent="0.3">
      <c r="A183" s="4" t="s">
        <v>192</v>
      </c>
      <c r="B183" s="29">
        <f>IFERROR(ROUND(PayGapsForMalesInRacialEthnicGroupsByOccupationalSeries[[#This Row],[AIAN Male Occ Dist]]*PayGapsForMalesInRacialEthnicGroupsByOccupationalSeries[[#This Row],[AIAN Male % White Male Avg Salary]],7),"")</f>
        <v>7.9296999999999996E-3</v>
      </c>
      <c r="C183" s="29">
        <f>IFERROR(ROUND(PayGapsForMalesInRacialEthnicGroupsByOccupationalSeries[[#This Row],[ANHPI Male Occ Dist]]*PayGapsForMalesInRacialEthnicGroupsByOccupationalSeries[[#This Row],[ANHPI Male % White Male Avg Salary]],7),"")</f>
        <v>4.9668000000000004E-3</v>
      </c>
      <c r="D183" s="29">
        <f>IFERROR(ROUND(PayGapsForMalesInRacialEthnicGroupsByOccupationalSeries[[#This Row],[Black Male Occ Dist]]*PayGapsForMalesInRacialEthnicGroupsByOccupationalSeries[[#This Row],[Black Male % White Male Avg Salary]],7),"")</f>
        <v>1.68068E-2</v>
      </c>
      <c r="E183" s="29">
        <f>IFERROR(ROUND(PayGapsForMalesInRacialEthnicGroupsByOccupationalSeries[[#This Row],[Hispanic - Latino Male Occ Dist]]*PayGapsForMalesInRacialEthnicGroupsByOccupationalSeries[[#This Row],[Hispanic Latino % White Male Avg Salary]],7),"")</f>
        <v>1.8948400000000001E-2</v>
      </c>
      <c r="F183" s="81">
        <f>IFERROR(ROUND(PayGapsForMalesInRacialEthnicGroupsByOccupationalSeries[[#This Row],[Other Male Occ Dist]]*PayGapsForMalesInRacialEthnicGroupsByOccupationalSeries[[#This Row],[Other Male % White Male Salary]],7),"")</f>
        <v>6.5868999999999997E-3</v>
      </c>
    </row>
    <row r="184" spans="1:6" ht="15.6" x14ac:dyDescent="0.3">
      <c r="A184" s="4" t="s">
        <v>193</v>
      </c>
      <c r="B18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8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84" s="29">
        <f>IFERROR(ROUND(PayGapsForMalesInRacialEthnicGroupsByOccupationalSeries[[#This Row],[Black Male Occ Dist]]*PayGapsForMalesInRacialEthnicGroupsByOccupationalSeries[[#This Row],[Black Male % White Male Avg Salary]],7),"")</f>
        <v>1.1079E-3</v>
      </c>
      <c r="E18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8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85" spans="1:6" ht="15.6" x14ac:dyDescent="0.3">
      <c r="A185" s="4" t="s">
        <v>194</v>
      </c>
      <c r="B18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8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8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8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8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86" spans="1:6" ht="15.6" x14ac:dyDescent="0.3">
      <c r="A186" s="4" t="s">
        <v>195</v>
      </c>
      <c r="B18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86" s="29">
        <f>IFERROR(ROUND(PayGapsForMalesInRacialEthnicGroupsByOccupationalSeries[[#This Row],[ANHPI Male Occ Dist]]*PayGapsForMalesInRacialEthnicGroupsByOccupationalSeries[[#This Row],[ANHPI Male % White Male Avg Salary]],7),"")</f>
        <v>7.3240000000000002E-4</v>
      </c>
      <c r="D186" s="29">
        <f>IFERROR(ROUND(PayGapsForMalesInRacialEthnicGroupsByOccupationalSeries[[#This Row],[Black Male Occ Dist]]*PayGapsForMalesInRacialEthnicGroupsByOccupationalSeries[[#This Row],[Black Male % White Male Avg Salary]],7),"")</f>
        <v>9.6000000000000002E-4</v>
      </c>
      <c r="E186" s="29">
        <f>IFERROR(ROUND(PayGapsForMalesInRacialEthnicGroupsByOccupationalSeries[[#This Row],[Hispanic - Latino Male Occ Dist]]*PayGapsForMalesInRacialEthnicGroupsByOccupationalSeries[[#This Row],[Hispanic Latino % White Male Avg Salary]],7),"")</f>
        <v>8.4559999999999995E-4</v>
      </c>
      <c r="F18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87" spans="1:6" ht="15.6" x14ac:dyDescent="0.3">
      <c r="A187" s="4" t="s">
        <v>196</v>
      </c>
      <c r="B18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87" s="29">
        <f>IFERROR(ROUND(PayGapsForMalesInRacialEthnicGroupsByOccupationalSeries[[#This Row],[ANHPI Male Occ Dist]]*PayGapsForMalesInRacialEthnicGroupsByOccupationalSeries[[#This Row],[ANHPI Male % White Male Avg Salary]],7),"")</f>
        <v>1.0613E-3</v>
      </c>
      <c r="D187" s="29">
        <f>IFERROR(ROUND(PayGapsForMalesInRacialEthnicGroupsByOccupationalSeries[[#This Row],[Black Male Occ Dist]]*PayGapsForMalesInRacialEthnicGroupsByOccupationalSeries[[#This Row],[Black Male % White Male Avg Salary]],7),"")</f>
        <v>2.4026E-3</v>
      </c>
      <c r="E187" s="29">
        <f>IFERROR(ROUND(PayGapsForMalesInRacialEthnicGroupsByOccupationalSeries[[#This Row],[Hispanic - Latino Male Occ Dist]]*PayGapsForMalesInRacialEthnicGroupsByOccupationalSeries[[#This Row],[Hispanic Latino % White Male Avg Salary]],7),"")</f>
        <v>1.4928000000000001E-3</v>
      </c>
      <c r="F187" s="81">
        <f>IFERROR(ROUND(PayGapsForMalesInRacialEthnicGroupsByOccupationalSeries[[#This Row],[Other Male Occ Dist]]*PayGapsForMalesInRacialEthnicGroupsByOccupationalSeries[[#This Row],[Other Male % White Male Salary]],7),"")</f>
        <v>1.0819E-3</v>
      </c>
    </row>
    <row r="188" spans="1:6" ht="15.6" x14ac:dyDescent="0.3">
      <c r="A188" s="4" t="s">
        <v>197</v>
      </c>
      <c r="B18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8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88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8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8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89" spans="1:6" ht="31.2" x14ac:dyDescent="0.3">
      <c r="A189" s="4" t="s">
        <v>198</v>
      </c>
      <c r="B18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8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89" s="29">
        <f>IFERROR(ROUND(PayGapsForMalesInRacialEthnicGroupsByOccupationalSeries[[#This Row],[Black Male Occ Dist]]*PayGapsForMalesInRacialEthnicGroupsByOccupationalSeries[[#This Row],[Black Male % White Male Avg Salary]],7),"")</f>
        <v>6.1799999999999995E-4</v>
      </c>
      <c r="E189" s="29">
        <f>IFERROR(ROUND(PayGapsForMalesInRacialEthnicGroupsByOccupationalSeries[[#This Row],[Hispanic - Latino Male Occ Dist]]*PayGapsForMalesInRacialEthnicGroupsByOccupationalSeries[[#This Row],[Hispanic Latino % White Male Avg Salary]],7),"")</f>
        <v>4.327E-4</v>
      </c>
      <c r="F18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90" spans="1:6" ht="31.2" x14ac:dyDescent="0.3">
      <c r="A190" s="4" t="s">
        <v>199</v>
      </c>
      <c r="B19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9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90" s="29">
        <f>IFERROR(ROUND(PayGapsForMalesInRacialEthnicGroupsByOccupationalSeries[[#This Row],[Black Male Occ Dist]]*PayGapsForMalesInRacialEthnicGroupsByOccupationalSeries[[#This Row],[Black Male % White Male Avg Salary]],7),"")</f>
        <v>2.8889999999999997E-4</v>
      </c>
      <c r="E19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9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91" spans="1:6" ht="15.6" x14ac:dyDescent="0.3">
      <c r="A191" s="4" t="s">
        <v>200</v>
      </c>
      <c r="B191" s="29">
        <f>IFERROR(ROUND(PayGapsForMalesInRacialEthnicGroupsByOccupationalSeries[[#This Row],[AIAN Male Occ Dist]]*PayGapsForMalesInRacialEthnicGroupsByOccupationalSeries[[#This Row],[AIAN Male % White Male Avg Salary]],7),"")</f>
        <v>1.29359E-2</v>
      </c>
      <c r="C191" s="29">
        <f>IFERROR(ROUND(PayGapsForMalesInRacialEthnicGroupsByOccupationalSeries[[#This Row],[ANHPI Male Occ Dist]]*PayGapsForMalesInRacialEthnicGroupsByOccupationalSeries[[#This Row],[ANHPI Male % White Male Avg Salary]],7),"")</f>
        <v>5.4419000000000004E-3</v>
      </c>
      <c r="D191" s="29">
        <f>IFERROR(ROUND(PayGapsForMalesInRacialEthnicGroupsByOccupationalSeries[[#This Row],[Black Male Occ Dist]]*PayGapsForMalesInRacialEthnicGroupsByOccupationalSeries[[#This Row],[Black Male % White Male Avg Salary]],7),"")</f>
        <v>1.33075E-2</v>
      </c>
      <c r="E191" s="29">
        <f>IFERROR(ROUND(PayGapsForMalesInRacialEthnicGroupsByOccupationalSeries[[#This Row],[Hispanic - Latino Male Occ Dist]]*PayGapsForMalesInRacialEthnicGroupsByOccupationalSeries[[#This Row],[Hispanic Latino % White Male Avg Salary]],7),"")</f>
        <v>5.7565999999999997E-3</v>
      </c>
      <c r="F191" s="81">
        <f>IFERROR(ROUND(PayGapsForMalesInRacialEthnicGroupsByOccupationalSeries[[#This Row],[Other Male Occ Dist]]*PayGapsForMalesInRacialEthnicGroupsByOccupationalSeries[[#This Row],[Other Male % White Male Salary]],7),"")</f>
        <v>8.8162999999999991E-3</v>
      </c>
    </row>
    <row r="192" spans="1:6" ht="31.2" x14ac:dyDescent="0.3">
      <c r="A192" s="4" t="s">
        <v>201</v>
      </c>
      <c r="B19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9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92" s="29">
        <f>IFERROR(ROUND(PayGapsForMalesInRacialEthnicGroupsByOccupationalSeries[[#This Row],[Black Male Occ Dist]]*PayGapsForMalesInRacialEthnicGroupsByOccupationalSeries[[#This Row],[Black Male % White Male Avg Salary]],7),"")</f>
        <v>1.7336000000000001E-3</v>
      </c>
      <c r="E19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9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93" spans="1:6" ht="15.6" x14ac:dyDescent="0.3">
      <c r="A193" s="4" t="s">
        <v>202</v>
      </c>
      <c r="B19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93" s="29">
        <f>IFERROR(ROUND(PayGapsForMalesInRacialEthnicGroupsByOccupationalSeries[[#This Row],[ANHPI Male Occ Dist]]*PayGapsForMalesInRacialEthnicGroupsByOccupationalSeries[[#This Row],[ANHPI Male % White Male Avg Salary]],7),"")</f>
        <v>2.4978000000000001E-3</v>
      </c>
      <c r="D193" s="29">
        <f>IFERROR(ROUND(PayGapsForMalesInRacialEthnicGroupsByOccupationalSeries[[#This Row],[Black Male Occ Dist]]*PayGapsForMalesInRacialEthnicGroupsByOccupationalSeries[[#This Row],[Black Male % White Male Avg Salary]],7),"")</f>
        <v>1.6473E-3</v>
      </c>
      <c r="E193" s="29">
        <f>IFERROR(ROUND(PayGapsForMalesInRacialEthnicGroupsByOccupationalSeries[[#This Row],[Hispanic - Latino Male Occ Dist]]*PayGapsForMalesInRacialEthnicGroupsByOccupationalSeries[[#This Row],[Hispanic Latino % White Male Avg Salary]],7),"")</f>
        <v>9.5489999999999995E-4</v>
      </c>
      <c r="F19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94" spans="1:6" ht="15.6" x14ac:dyDescent="0.3">
      <c r="A194" s="4" t="s">
        <v>203</v>
      </c>
      <c r="B19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9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9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9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9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95" spans="1:6" ht="15.6" x14ac:dyDescent="0.3">
      <c r="A195" s="4" t="s">
        <v>204</v>
      </c>
      <c r="B19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9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9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9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9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96" spans="1:6" ht="15.6" x14ac:dyDescent="0.3">
      <c r="A196" s="4" t="s">
        <v>205</v>
      </c>
      <c r="B19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9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9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9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9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97" spans="1:6" ht="31.2" x14ac:dyDescent="0.3">
      <c r="A197" s="4" t="s">
        <v>206</v>
      </c>
      <c r="B19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9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197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9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19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198" spans="1:6" ht="15.6" x14ac:dyDescent="0.3">
      <c r="A198" s="4" t="s">
        <v>207</v>
      </c>
      <c r="B19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98" s="29">
        <f>IFERROR(ROUND(PayGapsForMalesInRacialEthnicGroupsByOccupationalSeries[[#This Row],[ANHPI Male Occ Dist]]*PayGapsForMalesInRacialEthnicGroupsByOccupationalSeries[[#This Row],[ANHPI Male % White Male Avg Salary]],7),"")</f>
        <v>8.52E-4</v>
      </c>
      <c r="D198" s="29">
        <f>IFERROR(ROUND(PayGapsForMalesInRacialEthnicGroupsByOccupationalSeries[[#This Row],[Black Male Occ Dist]]*PayGapsForMalesInRacialEthnicGroupsByOccupationalSeries[[#This Row],[Black Male % White Male Avg Salary]],7),"")</f>
        <v>2.0501E-3</v>
      </c>
      <c r="E198" s="29">
        <f>IFERROR(ROUND(PayGapsForMalesInRacialEthnicGroupsByOccupationalSeries[[#This Row],[Hispanic - Latino Male Occ Dist]]*PayGapsForMalesInRacialEthnicGroupsByOccupationalSeries[[#This Row],[Hispanic Latino % White Male Avg Salary]],7),"")</f>
        <v>2.1768E-3</v>
      </c>
      <c r="F198" s="81">
        <f>IFERROR(ROUND(PayGapsForMalesInRacialEthnicGroupsByOccupationalSeries[[#This Row],[Other Male Occ Dist]]*PayGapsForMalesInRacialEthnicGroupsByOccupationalSeries[[#This Row],[Other Male % White Male Salary]],7),"")</f>
        <v>2.9020000000000001E-3</v>
      </c>
    </row>
    <row r="199" spans="1:6" ht="15.6" x14ac:dyDescent="0.3">
      <c r="A199" s="4" t="s">
        <v>208</v>
      </c>
      <c r="B19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199" s="29">
        <f>IFERROR(ROUND(PayGapsForMalesInRacialEthnicGroupsByOccupationalSeries[[#This Row],[ANHPI Male Occ Dist]]*PayGapsForMalesInRacialEthnicGroupsByOccupationalSeries[[#This Row],[ANHPI Male % White Male Avg Salary]],7),"")</f>
        <v>1.0319999999999999E-3</v>
      </c>
      <c r="D199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199" s="29">
        <f>IFERROR(ROUND(PayGapsForMalesInRacialEthnicGroupsByOccupationalSeries[[#This Row],[Hispanic - Latino Male Occ Dist]]*PayGapsForMalesInRacialEthnicGroupsByOccupationalSeries[[#This Row],[Hispanic Latino % White Male Avg Salary]],7),"")</f>
        <v>6.8889999999999999E-4</v>
      </c>
      <c r="F19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00" spans="1:6" ht="15.6" x14ac:dyDescent="0.3">
      <c r="A200" s="4" t="s">
        <v>209</v>
      </c>
      <c r="B20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0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00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0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0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01" spans="1:6" ht="15.6" x14ac:dyDescent="0.3">
      <c r="A201" s="4" t="s">
        <v>210</v>
      </c>
      <c r="B20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0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01" s="29">
        <f>IFERROR(ROUND(PayGapsForMalesInRacialEthnicGroupsByOccupationalSeries[[#This Row],[Black Male Occ Dist]]*PayGapsForMalesInRacialEthnicGroupsByOccupationalSeries[[#This Row],[Black Male % White Male Avg Salary]],7),"")</f>
        <v>9.9580000000000003E-4</v>
      </c>
      <c r="E20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0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02" spans="1:6" ht="15.6" x14ac:dyDescent="0.3">
      <c r="A202" s="4" t="s">
        <v>211</v>
      </c>
      <c r="B20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0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02" s="29">
        <f>IFERROR(ROUND(PayGapsForMalesInRacialEthnicGroupsByOccupationalSeries[[#This Row],[Black Male Occ Dist]]*PayGapsForMalesInRacialEthnicGroupsByOccupationalSeries[[#This Row],[Black Male % White Male Avg Salary]],7),"")</f>
        <v>2.0929999999999999E-4</v>
      </c>
      <c r="E20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0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03" spans="1:6" ht="15.6" x14ac:dyDescent="0.3">
      <c r="A203" s="4" t="s">
        <v>212</v>
      </c>
      <c r="B20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0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03" s="29">
        <f>IFERROR(ROUND(PayGapsForMalesInRacialEthnicGroupsByOccupationalSeries[[#This Row],[Black Male Occ Dist]]*PayGapsForMalesInRacialEthnicGroupsByOccupationalSeries[[#This Row],[Black Male % White Male Avg Salary]],7),"")</f>
        <v>2.8029999999999998E-4</v>
      </c>
      <c r="E20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0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04" spans="1:6" ht="15.6" x14ac:dyDescent="0.3">
      <c r="A204" s="4" t="s">
        <v>213</v>
      </c>
      <c r="B20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0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04" s="29">
        <f>IFERROR(ROUND(PayGapsForMalesInRacialEthnicGroupsByOccupationalSeries[[#This Row],[Black Male Occ Dist]]*PayGapsForMalesInRacialEthnicGroupsByOccupationalSeries[[#This Row],[Black Male % White Male Avg Salary]],7),"")</f>
        <v>1.1894E-3</v>
      </c>
      <c r="E204" s="29">
        <f>IFERROR(ROUND(PayGapsForMalesInRacialEthnicGroupsByOccupationalSeries[[#This Row],[Hispanic - Latino Male Occ Dist]]*PayGapsForMalesInRacialEthnicGroupsByOccupationalSeries[[#This Row],[Hispanic Latino % White Male Avg Salary]],7),"")</f>
        <v>8.474E-4</v>
      </c>
      <c r="F20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05" spans="1:6" ht="15.6" x14ac:dyDescent="0.3">
      <c r="A205" s="4" t="s">
        <v>214</v>
      </c>
      <c r="B205" s="29">
        <f>IFERROR(ROUND(PayGapsForMalesInRacialEthnicGroupsByOccupationalSeries[[#This Row],[AIAN Male Occ Dist]]*PayGapsForMalesInRacialEthnicGroupsByOccupationalSeries[[#This Row],[AIAN Male % White Male Avg Salary]],7),"")</f>
        <v>1.0250499999999999E-2</v>
      </c>
      <c r="C205" s="29">
        <f>IFERROR(ROUND(PayGapsForMalesInRacialEthnicGroupsByOccupationalSeries[[#This Row],[ANHPI Male Occ Dist]]*PayGapsForMalesInRacialEthnicGroupsByOccupationalSeries[[#This Row],[ANHPI Male % White Male Avg Salary]],7),"")</f>
        <v>1.14749E-2</v>
      </c>
      <c r="D205" s="29">
        <f>IFERROR(ROUND(PayGapsForMalesInRacialEthnicGroupsByOccupationalSeries[[#This Row],[Black Male Occ Dist]]*PayGapsForMalesInRacialEthnicGroupsByOccupationalSeries[[#This Row],[Black Male % White Male Avg Salary]],7),"")</f>
        <v>1.47192E-2</v>
      </c>
      <c r="E205" s="29">
        <f>IFERROR(ROUND(PayGapsForMalesInRacialEthnicGroupsByOccupationalSeries[[#This Row],[Hispanic - Latino Male Occ Dist]]*PayGapsForMalesInRacialEthnicGroupsByOccupationalSeries[[#This Row],[Hispanic Latino % White Male Avg Salary]],7),"")</f>
        <v>9.7426000000000006E-3</v>
      </c>
      <c r="F205" s="81">
        <f>IFERROR(ROUND(PayGapsForMalesInRacialEthnicGroupsByOccupationalSeries[[#This Row],[Other Male Occ Dist]]*PayGapsForMalesInRacialEthnicGroupsByOccupationalSeries[[#This Row],[Other Male % White Male Salary]],7),"")</f>
        <v>1.54044E-2</v>
      </c>
    </row>
    <row r="206" spans="1:6" ht="15.6" x14ac:dyDescent="0.3">
      <c r="A206" s="4" t="s">
        <v>215</v>
      </c>
      <c r="B206" s="29">
        <f>IFERROR(ROUND(PayGapsForMalesInRacialEthnicGroupsByOccupationalSeries[[#This Row],[AIAN Male Occ Dist]]*PayGapsForMalesInRacialEthnicGroupsByOccupationalSeries[[#This Row],[AIAN Male % White Male Avg Salary]],7),"")</f>
        <v>1.1271E-2</v>
      </c>
      <c r="C206" s="29">
        <f>IFERROR(ROUND(PayGapsForMalesInRacialEthnicGroupsByOccupationalSeries[[#This Row],[ANHPI Male Occ Dist]]*PayGapsForMalesInRacialEthnicGroupsByOccupationalSeries[[#This Row],[ANHPI Male % White Male Avg Salary]],7),"")</f>
        <v>1.43506E-2</v>
      </c>
      <c r="D206" s="29">
        <f>IFERROR(ROUND(PayGapsForMalesInRacialEthnicGroupsByOccupationalSeries[[#This Row],[Black Male Occ Dist]]*PayGapsForMalesInRacialEthnicGroupsByOccupationalSeries[[#This Row],[Black Male % White Male Avg Salary]],7),"")</f>
        <v>2.5742600000000001E-2</v>
      </c>
      <c r="E206" s="29">
        <f>IFERROR(ROUND(PayGapsForMalesInRacialEthnicGroupsByOccupationalSeries[[#This Row],[Hispanic - Latino Male Occ Dist]]*PayGapsForMalesInRacialEthnicGroupsByOccupationalSeries[[#This Row],[Hispanic Latino % White Male Avg Salary]],7),"")</f>
        <v>1.2805199999999999E-2</v>
      </c>
      <c r="F206" s="81">
        <f>IFERROR(ROUND(PayGapsForMalesInRacialEthnicGroupsByOccupationalSeries[[#This Row],[Other Male Occ Dist]]*PayGapsForMalesInRacialEthnicGroupsByOccupationalSeries[[#This Row],[Other Male % White Male Salary]],7),"")</f>
        <v>2.43254E-2</v>
      </c>
    </row>
    <row r="207" spans="1:6" ht="31.2" x14ac:dyDescent="0.3">
      <c r="A207" s="4" t="s">
        <v>216</v>
      </c>
      <c r="B20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0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07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0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0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08" spans="1:6" ht="15.6" x14ac:dyDescent="0.3">
      <c r="A208" s="4" t="s">
        <v>217</v>
      </c>
      <c r="B20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0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08" s="29">
        <f>IFERROR(ROUND(PayGapsForMalesInRacialEthnicGroupsByOccupationalSeries[[#This Row],[Black Male Occ Dist]]*PayGapsForMalesInRacialEthnicGroupsByOccupationalSeries[[#This Row],[Black Male % White Male Avg Salary]],7),"")</f>
        <v>7.1509999999999998E-4</v>
      </c>
      <c r="E20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0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09" spans="1:6" ht="15.6" x14ac:dyDescent="0.3">
      <c r="A209" s="4" t="s">
        <v>218</v>
      </c>
      <c r="B20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09" s="29">
        <f>IFERROR(ROUND(PayGapsForMalesInRacialEthnicGroupsByOccupationalSeries[[#This Row],[ANHPI Male Occ Dist]]*PayGapsForMalesInRacialEthnicGroupsByOccupationalSeries[[#This Row],[ANHPI Male % White Male Avg Salary]],7),"")</f>
        <v>1.2042999999999999E-3</v>
      </c>
      <c r="D209" s="29">
        <f>IFERROR(ROUND(PayGapsForMalesInRacialEthnicGroupsByOccupationalSeries[[#This Row],[Black Male Occ Dist]]*PayGapsForMalesInRacialEthnicGroupsByOccupationalSeries[[#This Row],[Black Male % White Male Avg Salary]],7),"")</f>
        <v>2.8703999999999999E-3</v>
      </c>
      <c r="E209" s="29">
        <f>IFERROR(ROUND(PayGapsForMalesInRacialEthnicGroupsByOccupationalSeries[[#This Row],[Hispanic - Latino Male Occ Dist]]*PayGapsForMalesInRacialEthnicGroupsByOccupationalSeries[[#This Row],[Hispanic Latino % White Male Avg Salary]],7),"")</f>
        <v>1.333E-3</v>
      </c>
      <c r="F20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10" spans="1:6" ht="31.2" x14ac:dyDescent="0.3">
      <c r="A210" s="4" t="s">
        <v>219</v>
      </c>
      <c r="B21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1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10" s="29">
        <f>IFERROR(ROUND(PayGapsForMalesInRacialEthnicGroupsByOccupationalSeries[[#This Row],[Black Male Occ Dist]]*PayGapsForMalesInRacialEthnicGroupsByOccupationalSeries[[#This Row],[Black Male % White Male Avg Salary]],7),"")</f>
        <v>5.8069999999999997E-4</v>
      </c>
      <c r="E21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1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11" spans="1:6" ht="15.6" x14ac:dyDescent="0.3">
      <c r="A211" s="4" t="s">
        <v>220</v>
      </c>
      <c r="B21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11" s="29">
        <f>IFERROR(ROUND(PayGapsForMalesInRacialEthnicGroupsByOccupationalSeries[[#This Row],[ANHPI Male Occ Dist]]*PayGapsForMalesInRacialEthnicGroupsByOccupationalSeries[[#This Row],[ANHPI Male % White Male Avg Salary]],7),"")</f>
        <v>7.18E-4</v>
      </c>
      <c r="D211" s="29">
        <f>IFERROR(ROUND(PayGapsForMalesInRacialEthnicGroupsByOccupationalSeries[[#This Row],[Black Male Occ Dist]]*PayGapsForMalesInRacialEthnicGroupsByOccupationalSeries[[#This Row],[Black Male % White Male Avg Salary]],7),"")</f>
        <v>1.841E-3</v>
      </c>
      <c r="E211" s="29">
        <f>IFERROR(ROUND(PayGapsForMalesInRacialEthnicGroupsByOccupationalSeries[[#This Row],[Hispanic - Latino Male Occ Dist]]*PayGapsForMalesInRacialEthnicGroupsByOccupationalSeries[[#This Row],[Hispanic Latino % White Male Avg Salary]],7),"")</f>
        <v>4.5869999999999998E-4</v>
      </c>
      <c r="F21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12" spans="1:6" ht="15.6" x14ac:dyDescent="0.3">
      <c r="A212" s="4" t="s">
        <v>221</v>
      </c>
      <c r="B21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1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12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1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1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13" spans="1:6" ht="15.6" x14ac:dyDescent="0.3">
      <c r="A213" s="4" t="s">
        <v>222</v>
      </c>
      <c r="B21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1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1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1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1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14" spans="1:6" ht="15.6" x14ac:dyDescent="0.3">
      <c r="A214" s="4" t="s">
        <v>223</v>
      </c>
      <c r="B21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14" s="29">
        <f>IFERROR(ROUND(PayGapsForMalesInRacialEthnicGroupsByOccupationalSeries[[#This Row],[ANHPI Male Occ Dist]]*PayGapsForMalesInRacialEthnicGroupsByOccupationalSeries[[#This Row],[ANHPI Male % White Male Avg Salary]],7),"")</f>
        <v>7.2389999999999998E-4</v>
      </c>
      <c r="D214" s="29">
        <f>IFERROR(ROUND(PayGapsForMalesInRacialEthnicGroupsByOccupationalSeries[[#This Row],[Black Male Occ Dist]]*PayGapsForMalesInRacialEthnicGroupsByOccupationalSeries[[#This Row],[Black Male % White Male Avg Salary]],7),"")</f>
        <v>1.1857E-3</v>
      </c>
      <c r="E214" s="29">
        <f>IFERROR(ROUND(PayGapsForMalesInRacialEthnicGroupsByOccupationalSeries[[#This Row],[Hispanic - Latino Male Occ Dist]]*PayGapsForMalesInRacialEthnicGroupsByOccupationalSeries[[#This Row],[Hispanic Latino % White Male Avg Salary]],7),"")</f>
        <v>7.4470000000000005E-4</v>
      </c>
      <c r="F21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15" spans="1:6" ht="15.6" x14ac:dyDescent="0.3">
      <c r="A215" s="4" t="s">
        <v>224</v>
      </c>
      <c r="B21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1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1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1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1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16" spans="1:6" ht="15.6" x14ac:dyDescent="0.3">
      <c r="A216" s="4" t="s">
        <v>225</v>
      </c>
      <c r="B21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1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1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1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1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17" spans="1:6" ht="15.6" x14ac:dyDescent="0.3">
      <c r="A217" s="4" t="s">
        <v>226</v>
      </c>
      <c r="B21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1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17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1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1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18" spans="1:6" ht="15.6" x14ac:dyDescent="0.3">
      <c r="A218" s="4" t="s">
        <v>227</v>
      </c>
      <c r="B21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1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18" s="29">
        <f>IFERROR(ROUND(PayGapsForMalesInRacialEthnicGroupsByOccupationalSeries[[#This Row],[Black Male Occ Dist]]*PayGapsForMalesInRacialEthnicGroupsByOccupationalSeries[[#This Row],[Black Male % White Male Avg Salary]],7),"")</f>
        <v>7.1080000000000004E-4</v>
      </c>
      <c r="E21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1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19" spans="1:6" ht="15.6" x14ac:dyDescent="0.3">
      <c r="A219" s="4" t="s">
        <v>228</v>
      </c>
      <c r="B21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19" s="29">
        <f>IFERROR(ROUND(PayGapsForMalesInRacialEthnicGroupsByOccupationalSeries[[#This Row],[ANHPI Male Occ Dist]]*PayGapsForMalesInRacialEthnicGroupsByOccupationalSeries[[#This Row],[ANHPI Male % White Male Avg Salary]],7),"")</f>
        <v>2.5563000000000001E-3</v>
      </c>
      <c r="D219" s="29">
        <f>IFERROR(ROUND(PayGapsForMalesInRacialEthnicGroupsByOccupationalSeries[[#This Row],[Black Male Occ Dist]]*PayGapsForMalesInRacialEthnicGroupsByOccupationalSeries[[#This Row],[Black Male % White Male Avg Salary]],7),"")</f>
        <v>3.2564999999999998E-3</v>
      </c>
      <c r="E219" s="29">
        <f>IFERROR(ROUND(PayGapsForMalesInRacialEthnicGroupsByOccupationalSeries[[#This Row],[Hispanic - Latino Male Occ Dist]]*PayGapsForMalesInRacialEthnicGroupsByOccupationalSeries[[#This Row],[Hispanic Latino % White Male Avg Salary]],7),"")</f>
        <v>3.0498999999999999E-3</v>
      </c>
      <c r="F219" s="81">
        <f>IFERROR(ROUND(PayGapsForMalesInRacialEthnicGroupsByOccupationalSeries[[#This Row],[Other Male Occ Dist]]*PayGapsForMalesInRacialEthnicGroupsByOccupationalSeries[[#This Row],[Other Male % White Male Salary]],7),"")</f>
        <v>3.7412999999999999E-3</v>
      </c>
    </row>
    <row r="220" spans="1:6" ht="15.6" x14ac:dyDescent="0.3">
      <c r="A220" s="4" t="s">
        <v>229</v>
      </c>
      <c r="B22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20" s="29">
        <f>IFERROR(ROUND(PayGapsForMalesInRacialEthnicGroupsByOccupationalSeries[[#This Row],[ANHPI Male Occ Dist]]*PayGapsForMalesInRacialEthnicGroupsByOccupationalSeries[[#This Row],[ANHPI Male % White Male Avg Salary]],7),"")</f>
        <v>1.5847000000000001E-3</v>
      </c>
      <c r="D220" s="29">
        <f>IFERROR(ROUND(PayGapsForMalesInRacialEthnicGroupsByOccupationalSeries[[#This Row],[Black Male Occ Dist]]*PayGapsForMalesInRacialEthnicGroupsByOccupationalSeries[[#This Row],[Black Male % White Male Avg Salary]],7),"")</f>
        <v>6.9209999999999996E-4</v>
      </c>
      <c r="E22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2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21" spans="1:6" ht="15.6" x14ac:dyDescent="0.3">
      <c r="A221" s="4" t="s">
        <v>230</v>
      </c>
      <c r="B22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21" s="29">
        <f>IFERROR(ROUND(PayGapsForMalesInRacialEthnicGroupsByOccupationalSeries[[#This Row],[ANHPI Male Occ Dist]]*PayGapsForMalesInRacialEthnicGroupsByOccupationalSeries[[#This Row],[ANHPI Male % White Male Avg Salary]],7),"")</f>
        <v>6.6719999999999995E-4</v>
      </c>
      <c r="D221" s="29">
        <f>IFERROR(ROUND(PayGapsForMalesInRacialEthnicGroupsByOccupationalSeries[[#This Row],[Black Male Occ Dist]]*PayGapsForMalesInRacialEthnicGroupsByOccupationalSeries[[#This Row],[Black Male % White Male Avg Salary]],7),"")</f>
        <v>1.5219000000000001E-3</v>
      </c>
      <c r="E221" s="29">
        <f>IFERROR(ROUND(PayGapsForMalesInRacialEthnicGroupsByOccupationalSeries[[#This Row],[Hispanic - Latino Male Occ Dist]]*PayGapsForMalesInRacialEthnicGroupsByOccupationalSeries[[#This Row],[Hispanic Latino % White Male Avg Salary]],7),"")</f>
        <v>1.1015E-3</v>
      </c>
      <c r="F22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22" spans="1:6" ht="15.6" x14ac:dyDescent="0.3">
      <c r="A222" s="4" t="s">
        <v>231</v>
      </c>
      <c r="B22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22" s="29">
        <f>IFERROR(ROUND(PayGapsForMalesInRacialEthnicGroupsByOccupationalSeries[[#This Row],[ANHPI Male Occ Dist]]*PayGapsForMalesInRacialEthnicGroupsByOccupationalSeries[[#This Row],[ANHPI Male % White Male Avg Salary]],7),"")</f>
        <v>1.1494000000000001E-3</v>
      </c>
      <c r="D222" s="29">
        <f>IFERROR(ROUND(PayGapsForMalesInRacialEthnicGroupsByOccupationalSeries[[#This Row],[Black Male Occ Dist]]*PayGapsForMalesInRacialEthnicGroupsByOccupationalSeries[[#This Row],[Black Male % White Male Avg Salary]],7),"")</f>
        <v>1.4855000000000001E-3</v>
      </c>
      <c r="E222" s="29">
        <f>IFERROR(ROUND(PayGapsForMalesInRacialEthnicGroupsByOccupationalSeries[[#This Row],[Hispanic - Latino Male Occ Dist]]*PayGapsForMalesInRacialEthnicGroupsByOccupationalSeries[[#This Row],[Hispanic Latino % White Male Avg Salary]],7),"")</f>
        <v>1.7985E-3</v>
      </c>
      <c r="F22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23" spans="1:6" ht="15.6" x14ac:dyDescent="0.3">
      <c r="A223" s="4" t="s">
        <v>232</v>
      </c>
      <c r="B223" s="29">
        <f>IFERROR(ROUND(PayGapsForMalesInRacialEthnicGroupsByOccupationalSeries[[#This Row],[AIAN Male Occ Dist]]*PayGapsForMalesInRacialEthnicGroupsByOccupationalSeries[[#This Row],[AIAN Male % White Male Avg Salary]],7),"")</f>
        <v>6.5665999999999997E-3</v>
      </c>
      <c r="C223" s="29">
        <f>IFERROR(ROUND(PayGapsForMalesInRacialEthnicGroupsByOccupationalSeries[[#This Row],[ANHPI Male Occ Dist]]*PayGapsForMalesInRacialEthnicGroupsByOccupationalSeries[[#This Row],[ANHPI Male % White Male Avg Salary]],7),"")</f>
        <v>7.0319999999999996E-4</v>
      </c>
      <c r="D223" s="29">
        <f>IFERROR(ROUND(PayGapsForMalesInRacialEthnicGroupsByOccupationalSeries[[#This Row],[Black Male Occ Dist]]*PayGapsForMalesInRacialEthnicGroupsByOccupationalSeries[[#This Row],[Black Male % White Male Avg Salary]],7),"")</f>
        <v>1.7891000000000001E-3</v>
      </c>
      <c r="E223" s="29">
        <f>IFERROR(ROUND(PayGapsForMalesInRacialEthnicGroupsByOccupationalSeries[[#This Row],[Hispanic - Latino Male Occ Dist]]*PayGapsForMalesInRacialEthnicGroupsByOccupationalSeries[[#This Row],[Hispanic Latino % White Male Avg Salary]],7),"")</f>
        <v>1.2130999999999999E-3</v>
      </c>
      <c r="F223" s="81">
        <f>IFERROR(ROUND(PayGapsForMalesInRacialEthnicGroupsByOccupationalSeries[[#This Row],[Other Male Occ Dist]]*PayGapsForMalesInRacialEthnicGroupsByOccupationalSeries[[#This Row],[Other Male % White Male Salary]],7),"")</f>
        <v>2.4432E-3</v>
      </c>
    </row>
    <row r="224" spans="1:6" ht="15.6" x14ac:dyDescent="0.3">
      <c r="A224" s="4" t="s">
        <v>233</v>
      </c>
      <c r="B22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2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2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2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2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25" spans="1:6" ht="15.6" x14ac:dyDescent="0.3">
      <c r="A225" s="4" t="s">
        <v>234</v>
      </c>
      <c r="B22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25" s="29">
        <f>IFERROR(ROUND(PayGapsForMalesInRacialEthnicGroupsByOccupationalSeries[[#This Row],[ANHPI Male Occ Dist]]*PayGapsForMalesInRacialEthnicGroupsByOccupationalSeries[[#This Row],[ANHPI Male % White Male Avg Salary]],7),"")</f>
        <v>1.6452000000000001E-3</v>
      </c>
      <c r="D225" s="29">
        <f>IFERROR(ROUND(PayGapsForMalesInRacialEthnicGroupsByOccupationalSeries[[#This Row],[Black Male Occ Dist]]*PayGapsForMalesInRacialEthnicGroupsByOccupationalSeries[[#This Row],[Black Male % White Male Avg Salary]],7),"")</f>
        <v>1.3014000000000001E-3</v>
      </c>
      <c r="E225" s="29">
        <f>IFERROR(ROUND(PayGapsForMalesInRacialEthnicGroupsByOccupationalSeries[[#This Row],[Hispanic - Latino Male Occ Dist]]*PayGapsForMalesInRacialEthnicGroupsByOccupationalSeries[[#This Row],[Hispanic Latino % White Male Avg Salary]],7),"")</f>
        <v>1.0012E-3</v>
      </c>
      <c r="F22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26" spans="1:6" ht="15.6" x14ac:dyDescent="0.3">
      <c r="A226" s="4" t="s">
        <v>235</v>
      </c>
      <c r="B22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2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26" s="29">
        <f>IFERROR(ROUND(PayGapsForMalesInRacialEthnicGroupsByOccupationalSeries[[#This Row],[Black Male Occ Dist]]*PayGapsForMalesInRacialEthnicGroupsByOccupationalSeries[[#This Row],[Black Male % White Male Avg Salary]],7),"")</f>
        <v>1.9294E-3</v>
      </c>
      <c r="E226" s="29">
        <f>IFERROR(ROUND(PayGapsForMalesInRacialEthnicGroupsByOccupationalSeries[[#This Row],[Hispanic - Latino Male Occ Dist]]*PayGapsForMalesInRacialEthnicGroupsByOccupationalSeries[[#This Row],[Hispanic Latino % White Male Avg Salary]],7),"")</f>
        <v>7.1580000000000005E-4</v>
      </c>
      <c r="F22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27" spans="1:6" ht="15.6" x14ac:dyDescent="0.3">
      <c r="A227" s="4" t="s">
        <v>236</v>
      </c>
      <c r="B22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2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27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2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2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28" spans="1:6" ht="15.6" x14ac:dyDescent="0.3">
      <c r="A228" s="4" t="s">
        <v>237</v>
      </c>
      <c r="B22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2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28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2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2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29" spans="1:6" ht="15.6" x14ac:dyDescent="0.3">
      <c r="A229" s="4" t="s">
        <v>238</v>
      </c>
      <c r="B22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29" s="29">
        <f>IFERROR(ROUND(PayGapsForMalesInRacialEthnicGroupsByOccupationalSeries[[#This Row],[ANHPI Male Occ Dist]]*PayGapsForMalesInRacialEthnicGroupsByOccupationalSeries[[#This Row],[ANHPI Male % White Male Avg Salary]],7),"")</f>
        <v>3.1662799999999998E-2</v>
      </c>
      <c r="D229" s="29">
        <f>IFERROR(ROUND(PayGapsForMalesInRacialEthnicGroupsByOccupationalSeries[[#This Row],[Black Male Occ Dist]]*PayGapsForMalesInRacialEthnicGroupsByOccupationalSeries[[#This Row],[Black Male % White Male Avg Salary]],7),"")</f>
        <v>5.3864000000000004E-3</v>
      </c>
      <c r="E229" s="29">
        <f>IFERROR(ROUND(PayGapsForMalesInRacialEthnicGroupsByOccupationalSeries[[#This Row],[Hispanic - Latino Male Occ Dist]]*PayGapsForMalesInRacialEthnicGroupsByOccupationalSeries[[#This Row],[Hispanic Latino % White Male Avg Salary]],7),"")</f>
        <v>2.8343999999999999E-3</v>
      </c>
      <c r="F229" s="81">
        <f>IFERROR(ROUND(PayGapsForMalesInRacialEthnicGroupsByOccupationalSeries[[#This Row],[Other Male Occ Dist]]*PayGapsForMalesInRacialEthnicGroupsByOccupationalSeries[[#This Row],[Other Male % White Male Salary]],7),"")</f>
        <v>4.0057000000000001E-3</v>
      </c>
    </row>
    <row r="230" spans="1:6" ht="15.6" x14ac:dyDescent="0.3">
      <c r="A230" s="4" t="s">
        <v>239</v>
      </c>
      <c r="B23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3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30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3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3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31" spans="1:6" ht="15.6" x14ac:dyDescent="0.3">
      <c r="A231" s="4" t="s">
        <v>240</v>
      </c>
      <c r="B23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31" s="29">
        <f>IFERROR(ROUND(PayGapsForMalesInRacialEthnicGroupsByOccupationalSeries[[#This Row],[ANHPI Male Occ Dist]]*PayGapsForMalesInRacialEthnicGroupsByOccupationalSeries[[#This Row],[ANHPI Male % White Male Avg Salary]],7),"")</f>
        <v>5.2649999999999997E-3</v>
      </c>
      <c r="D231" s="29">
        <f>IFERROR(ROUND(PayGapsForMalesInRacialEthnicGroupsByOccupationalSeries[[#This Row],[Black Male Occ Dist]]*PayGapsForMalesInRacialEthnicGroupsByOccupationalSeries[[#This Row],[Black Male % White Male Avg Salary]],7),"")</f>
        <v>1.5296000000000001E-3</v>
      </c>
      <c r="E231" s="29">
        <f>IFERROR(ROUND(PayGapsForMalesInRacialEthnicGroupsByOccupationalSeries[[#This Row],[Hispanic - Latino Male Occ Dist]]*PayGapsForMalesInRacialEthnicGroupsByOccupationalSeries[[#This Row],[Hispanic Latino % White Male Avg Salary]],7),"")</f>
        <v>2.1967000000000002E-3</v>
      </c>
      <c r="F231" s="81">
        <f>IFERROR(ROUND(PayGapsForMalesInRacialEthnicGroupsByOccupationalSeries[[#This Row],[Other Male Occ Dist]]*PayGapsForMalesInRacialEthnicGroupsByOccupationalSeries[[#This Row],[Other Male % White Male Salary]],7),"")</f>
        <v>3.6372000000000002E-3</v>
      </c>
    </row>
    <row r="232" spans="1:6" ht="15.6" x14ac:dyDescent="0.3">
      <c r="A232" s="4" t="s">
        <v>241</v>
      </c>
      <c r="B23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3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32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3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3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33" spans="1:6" ht="15.6" x14ac:dyDescent="0.3">
      <c r="A233" s="4" t="s">
        <v>242</v>
      </c>
      <c r="B23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33" s="29">
        <f>IFERROR(ROUND(PayGapsForMalesInRacialEthnicGroupsByOccupationalSeries[[#This Row],[ANHPI Male Occ Dist]]*PayGapsForMalesInRacialEthnicGroupsByOccupationalSeries[[#This Row],[ANHPI Male % White Male Avg Salary]],7),"")</f>
        <v>1.9315000000000001E-3</v>
      </c>
      <c r="D23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3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3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34" spans="1:6" ht="15.6" x14ac:dyDescent="0.3">
      <c r="A234" s="4" t="s">
        <v>243</v>
      </c>
      <c r="B23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34" s="29">
        <f>IFERROR(ROUND(PayGapsForMalesInRacialEthnicGroupsByOccupationalSeries[[#This Row],[ANHPI Male Occ Dist]]*PayGapsForMalesInRacialEthnicGroupsByOccupationalSeries[[#This Row],[ANHPI Male % White Male Avg Salary]],7),"")</f>
        <v>1.3692999999999999E-3</v>
      </c>
      <c r="D234" s="29">
        <f>IFERROR(ROUND(PayGapsForMalesInRacialEthnicGroupsByOccupationalSeries[[#This Row],[Black Male Occ Dist]]*PayGapsForMalesInRacialEthnicGroupsByOccupationalSeries[[#This Row],[Black Male % White Male Avg Salary]],7),"")</f>
        <v>1.0436E-3</v>
      </c>
      <c r="E23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3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35" spans="1:6" ht="15.6" x14ac:dyDescent="0.3">
      <c r="A235" s="4" t="s">
        <v>244</v>
      </c>
      <c r="B23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3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3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3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3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36" spans="1:6" ht="15.6" x14ac:dyDescent="0.3">
      <c r="A236" s="4" t="s">
        <v>245</v>
      </c>
      <c r="B23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3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3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3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3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37" spans="1:6" ht="15.6" x14ac:dyDescent="0.3">
      <c r="A237" s="4" t="s">
        <v>246</v>
      </c>
      <c r="B23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3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37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3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3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38" spans="1:6" ht="15.6" x14ac:dyDescent="0.3">
      <c r="A238" s="4" t="s">
        <v>247</v>
      </c>
      <c r="B23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38" s="29">
        <f>IFERROR(ROUND(PayGapsForMalesInRacialEthnicGroupsByOccupationalSeries[[#This Row],[ANHPI Male Occ Dist]]*PayGapsForMalesInRacialEthnicGroupsByOccupationalSeries[[#This Row],[ANHPI Male % White Male Avg Salary]],7),"")</f>
        <v>7.9296999999999996E-3</v>
      </c>
      <c r="D238" s="29">
        <f>IFERROR(ROUND(PayGapsForMalesInRacialEthnicGroupsByOccupationalSeries[[#This Row],[Black Male Occ Dist]]*PayGapsForMalesInRacialEthnicGroupsByOccupationalSeries[[#This Row],[Black Male % White Male Avg Salary]],7),"")</f>
        <v>1.0767999999999999E-3</v>
      </c>
      <c r="E238" s="29">
        <f>IFERROR(ROUND(PayGapsForMalesInRacialEthnicGroupsByOccupationalSeries[[#This Row],[Hispanic - Latino Male Occ Dist]]*PayGapsForMalesInRacialEthnicGroupsByOccupationalSeries[[#This Row],[Hispanic Latino % White Male Avg Salary]],7),"")</f>
        <v>1.2718E-3</v>
      </c>
      <c r="F23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39" spans="1:6" ht="15.6" x14ac:dyDescent="0.3">
      <c r="A239" s="4" t="s">
        <v>248</v>
      </c>
      <c r="B23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3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39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3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3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40" spans="1:6" ht="15.6" x14ac:dyDescent="0.3">
      <c r="A240" s="4" t="s">
        <v>249</v>
      </c>
      <c r="B24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4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40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4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4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41" spans="1:6" ht="15.6" x14ac:dyDescent="0.3">
      <c r="A241" s="4" t="s">
        <v>250</v>
      </c>
      <c r="B24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4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41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4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4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42" spans="1:6" ht="15.6" x14ac:dyDescent="0.3">
      <c r="A242" s="4" t="s">
        <v>251</v>
      </c>
      <c r="B24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4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42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4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4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43" spans="1:6" ht="15.6" x14ac:dyDescent="0.3">
      <c r="A243" s="4" t="s">
        <v>252</v>
      </c>
      <c r="B24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4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4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4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4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44" spans="1:6" ht="15.6" x14ac:dyDescent="0.3">
      <c r="A244" s="4" t="s">
        <v>253</v>
      </c>
      <c r="B24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4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4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4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4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45" spans="1:6" ht="15.6" x14ac:dyDescent="0.3">
      <c r="A245" s="4" t="s">
        <v>254</v>
      </c>
      <c r="B24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4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4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4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4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46" spans="1:6" ht="15.6" x14ac:dyDescent="0.3">
      <c r="A246" s="4" t="s">
        <v>255</v>
      </c>
      <c r="B24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4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4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4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4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47" spans="1:6" ht="15.6" x14ac:dyDescent="0.3">
      <c r="A247" s="4" t="s">
        <v>256</v>
      </c>
      <c r="B24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4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47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4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4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48" spans="1:6" ht="15.6" x14ac:dyDescent="0.3">
      <c r="A248" s="4" t="s">
        <v>257</v>
      </c>
      <c r="B24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4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48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4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4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49" spans="1:6" ht="15.6" x14ac:dyDescent="0.3">
      <c r="A249" s="4" t="s">
        <v>258</v>
      </c>
      <c r="B24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4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49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4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4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50" spans="1:6" ht="15.6" x14ac:dyDescent="0.3">
      <c r="A250" s="4" t="s">
        <v>259</v>
      </c>
      <c r="B25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5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50" s="29">
        <f>IFERROR(ROUND(PayGapsForMalesInRacialEthnicGroupsByOccupationalSeries[[#This Row],[Black Male Occ Dist]]*PayGapsForMalesInRacialEthnicGroupsByOccupationalSeries[[#This Row],[Black Male % White Male Avg Salary]],7),"")</f>
        <v>2.6570000000000001E-4</v>
      </c>
      <c r="E25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5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51" spans="1:6" ht="15.6" x14ac:dyDescent="0.3">
      <c r="A251" s="4" t="s">
        <v>260</v>
      </c>
      <c r="B25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5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51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5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51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52" spans="1:6" ht="15.6" x14ac:dyDescent="0.3">
      <c r="A252" s="4" t="s">
        <v>261</v>
      </c>
      <c r="B25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5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52" s="29">
        <f>IFERROR(ROUND(PayGapsForMalesInRacialEthnicGroupsByOccupationalSeries[[#This Row],[Black Male Occ Dist]]*PayGapsForMalesInRacialEthnicGroupsByOccupationalSeries[[#This Row],[Black Male % White Male Avg Salary]],7),"")</f>
        <v>1.4746E-3</v>
      </c>
      <c r="E25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5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53" spans="1:6" ht="31.2" x14ac:dyDescent="0.3">
      <c r="A253" s="4" t="s">
        <v>327</v>
      </c>
      <c r="B25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5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5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5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5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54" spans="1:6" ht="15.6" x14ac:dyDescent="0.3">
      <c r="A254" s="4" t="s">
        <v>262</v>
      </c>
      <c r="B25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5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5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5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5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55" spans="1:6" ht="15.6" x14ac:dyDescent="0.3">
      <c r="A255" s="4" t="s">
        <v>263</v>
      </c>
      <c r="B25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55" s="29">
        <f>IFERROR(ROUND(PayGapsForMalesInRacialEthnicGroupsByOccupationalSeries[[#This Row],[ANHPI Male Occ Dist]]*PayGapsForMalesInRacialEthnicGroupsByOccupationalSeries[[#This Row],[ANHPI Male % White Male Avg Salary]],7),"")</f>
        <v>4.0549000000000002E-3</v>
      </c>
      <c r="D255" s="29">
        <f>IFERROR(ROUND(PayGapsForMalesInRacialEthnicGroupsByOccupationalSeries[[#This Row],[Black Male Occ Dist]]*PayGapsForMalesInRacialEthnicGroupsByOccupationalSeries[[#This Row],[Black Male % White Male Avg Salary]],7),"")</f>
        <v>1.5851000000000001E-3</v>
      </c>
      <c r="E255" s="29">
        <f>IFERROR(ROUND(PayGapsForMalesInRacialEthnicGroupsByOccupationalSeries[[#This Row],[Hispanic - Latino Male Occ Dist]]*PayGapsForMalesInRacialEthnicGroupsByOccupationalSeries[[#This Row],[Hispanic Latino % White Male Avg Salary]],7),"")</f>
        <v>1.8051E-3</v>
      </c>
      <c r="F255" s="81">
        <f>IFERROR(ROUND(PayGapsForMalesInRacialEthnicGroupsByOccupationalSeries[[#This Row],[Other Male Occ Dist]]*PayGapsForMalesInRacialEthnicGroupsByOccupationalSeries[[#This Row],[Other Male % White Male Salary]],7),"")</f>
        <v>4.9319999999999998E-3</v>
      </c>
    </row>
    <row r="256" spans="1:6" ht="15.6" x14ac:dyDescent="0.3">
      <c r="A256" s="4" t="s">
        <v>264</v>
      </c>
      <c r="B25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5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5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5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5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57" spans="1:6" ht="15.6" x14ac:dyDescent="0.3">
      <c r="A257" s="4" t="s">
        <v>265</v>
      </c>
      <c r="B25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57" s="29">
        <f>IFERROR(ROUND(PayGapsForMalesInRacialEthnicGroupsByOccupationalSeries[[#This Row],[ANHPI Male Occ Dist]]*PayGapsForMalesInRacialEthnicGroupsByOccupationalSeries[[#This Row],[ANHPI Male % White Male Avg Salary]],7),"")</f>
        <v>2.4899000000000002E-3</v>
      </c>
      <c r="D257" s="29">
        <f>IFERROR(ROUND(PayGapsForMalesInRacialEthnicGroupsByOccupationalSeries[[#This Row],[Black Male Occ Dist]]*PayGapsForMalesInRacialEthnicGroupsByOccupationalSeries[[#This Row],[Black Male % White Male Avg Salary]],7),"")</f>
        <v>4.1419999999999998E-4</v>
      </c>
      <c r="E257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57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58" spans="1:6" ht="15.6" x14ac:dyDescent="0.3">
      <c r="A258" s="4" t="s">
        <v>266</v>
      </c>
      <c r="B25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58" s="29">
        <f>IFERROR(ROUND(PayGapsForMalesInRacialEthnicGroupsByOccupationalSeries[[#This Row],[ANHPI Male Occ Dist]]*PayGapsForMalesInRacialEthnicGroupsByOccupationalSeries[[#This Row],[ANHPI Male % White Male Avg Salary]],7),"")</f>
        <v>2.3595000000000001E-3</v>
      </c>
      <c r="D258" s="29">
        <f>IFERROR(ROUND(PayGapsForMalesInRacialEthnicGroupsByOccupationalSeries[[#This Row],[Black Male Occ Dist]]*PayGapsForMalesInRacialEthnicGroupsByOccupationalSeries[[#This Row],[Black Male % White Male Avg Salary]],7),"")</f>
        <v>1.6642E-3</v>
      </c>
      <c r="E258" s="29">
        <f>IFERROR(ROUND(PayGapsForMalesInRacialEthnicGroupsByOccupationalSeries[[#This Row],[Hispanic - Latino Male Occ Dist]]*PayGapsForMalesInRacialEthnicGroupsByOccupationalSeries[[#This Row],[Hispanic Latino % White Male Avg Salary]],7),"")</f>
        <v>8.8449999999999998E-4</v>
      </c>
      <c r="F25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59" spans="1:6" ht="15.6" x14ac:dyDescent="0.3">
      <c r="A259" s="4" t="s">
        <v>267</v>
      </c>
      <c r="B25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5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59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5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5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60" spans="1:6" ht="15.6" x14ac:dyDescent="0.3">
      <c r="A260" s="4" t="s">
        <v>268</v>
      </c>
      <c r="B26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60" s="29">
        <f>IFERROR(ROUND(PayGapsForMalesInRacialEthnicGroupsByOccupationalSeries[[#This Row],[ANHPI Male Occ Dist]]*PayGapsForMalesInRacialEthnicGroupsByOccupationalSeries[[#This Row],[ANHPI Male % White Male Avg Salary]],7),"")</f>
        <v>1.6476399999999999E-2</v>
      </c>
      <c r="D260" s="29">
        <f>IFERROR(ROUND(PayGapsForMalesInRacialEthnicGroupsByOccupationalSeries[[#This Row],[Black Male Occ Dist]]*PayGapsForMalesInRacialEthnicGroupsByOccupationalSeries[[#This Row],[Black Male % White Male Avg Salary]],7),"")</f>
        <v>3.7658000000000001E-3</v>
      </c>
      <c r="E260" s="29">
        <f>IFERROR(ROUND(PayGapsForMalesInRacialEthnicGroupsByOccupationalSeries[[#This Row],[Hispanic - Latino Male Occ Dist]]*PayGapsForMalesInRacialEthnicGroupsByOccupationalSeries[[#This Row],[Hispanic Latino % White Male Avg Salary]],7),"")</f>
        <v>3.8538999999999999E-3</v>
      </c>
      <c r="F260" s="81">
        <f>IFERROR(ROUND(PayGapsForMalesInRacialEthnicGroupsByOccupationalSeries[[#This Row],[Other Male Occ Dist]]*PayGapsForMalesInRacialEthnicGroupsByOccupationalSeries[[#This Row],[Other Male % White Male Salary]],7),"")</f>
        <v>8.8290999999999994E-3</v>
      </c>
    </row>
    <row r="261" spans="1:6" ht="31.2" x14ac:dyDescent="0.3">
      <c r="A261" s="4" t="s">
        <v>269</v>
      </c>
      <c r="B26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61" s="29">
        <f>IFERROR(ROUND(PayGapsForMalesInRacialEthnicGroupsByOccupationalSeries[[#This Row],[ANHPI Male Occ Dist]]*PayGapsForMalesInRacialEthnicGroupsByOccupationalSeries[[#This Row],[ANHPI Male % White Male Avg Salary]],7),"")</f>
        <v>4.4048000000000004E-3</v>
      </c>
      <c r="D261" s="29">
        <f>IFERROR(ROUND(PayGapsForMalesInRacialEthnicGroupsByOccupationalSeries[[#This Row],[Black Male Occ Dist]]*PayGapsForMalesInRacialEthnicGroupsByOccupationalSeries[[#This Row],[Black Male % White Male Avg Salary]],7),"")</f>
        <v>4.2884999999999998E-3</v>
      </c>
      <c r="E261" s="29">
        <f>IFERROR(ROUND(PayGapsForMalesInRacialEthnicGroupsByOccupationalSeries[[#This Row],[Hispanic - Latino Male Occ Dist]]*PayGapsForMalesInRacialEthnicGroupsByOccupationalSeries[[#This Row],[Hispanic Latino % White Male Avg Salary]],7),"")</f>
        <v>2.8157999999999998E-3</v>
      </c>
      <c r="F261" s="81">
        <f>IFERROR(ROUND(PayGapsForMalesInRacialEthnicGroupsByOccupationalSeries[[#This Row],[Other Male Occ Dist]]*PayGapsForMalesInRacialEthnicGroupsByOccupationalSeries[[#This Row],[Other Male % White Male Salary]],7),"")</f>
        <v>4.2180000000000004E-3</v>
      </c>
    </row>
    <row r="262" spans="1:6" ht="31.2" x14ac:dyDescent="0.3">
      <c r="A262" s="4" t="s">
        <v>270</v>
      </c>
      <c r="B26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6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62" s="29">
        <f>IFERROR(ROUND(PayGapsForMalesInRacialEthnicGroupsByOccupationalSeries[[#This Row],[Black Male Occ Dist]]*PayGapsForMalesInRacialEthnicGroupsByOccupationalSeries[[#This Row],[Black Male % White Male Avg Salary]],7),"")</f>
        <v>4.7689999999999999E-4</v>
      </c>
      <c r="E26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6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63" spans="1:6" ht="31.2" x14ac:dyDescent="0.3">
      <c r="A263" s="4" t="s">
        <v>271</v>
      </c>
      <c r="B26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6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6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6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6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64" spans="1:6" ht="15.6" x14ac:dyDescent="0.3">
      <c r="A264" s="4" t="s">
        <v>272</v>
      </c>
      <c r="B26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64" s="29">
        <f>IFERROR(ROUND(PayGapsForMalesInRacialEthnicGroupsByOccupationalSeries[[#This Row],[ANHPI Male Occ Dist]]*PayGapsForMalesInRacialEthnicGroupsByOccupationalSeries[[#This Row],[ANHPI Male % White Male Avg Salary]],7),"")</f>
        <v>1.6241999999999999E-3</v>
      </c>
      <c r="D264" s="29">
        <f>IFERROR(ROUND(PayGapsForMalesInRacialEthnicGroupsByOccupationalSeries[[#This Row],[Black Male Occ Dist]]*PayGapsForMalesInRacialEthnicGroupsByOccupationalSeries[[#This Row],[Black Male % White Male Avg Salary]],7),"")</f>
        <v>2.6698E-3</v>
      </c>
      <c r="E264" s="29">
        <f>IFERROR(ROUND(PayGapsForMalesInRacialEthnicGroupsByOccupationalSeries[[#This Row],[Hispanic - Latino Male Occ Dist]]*PayGapsForMalesInRacialEthnicGroupsByOccupationalSeries[[#This Row],[Hispanic Latino % White Male Avg Salary]],7),"")</f>
        <v>2.0655000000000001E-3</v>
      </c>
      <c r="F26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65" spans="1:6" ht="15.6" x14ac:dyDescent="0.3">
      <c r="A265" s="4" t="s">
        <v>273</v>
      </c>
      <c r="B26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6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6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6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6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66" spans="1:6" ht="15.6" x14ac:dyDescent="0.3">
      <c r="A266" s="4" t="s">
        <v>274</v>
      </c>
      <c r="B26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6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66" s="29">
        <f>IFERROR(ROUND(PayGapsForMalesInRacialEthnicGroupsByOccupationalSeries[[#This Row],[Black Male Occ Dist]]*PayGapsForMalesInRacialEthnicGroupsByOccupationalSeries[[#This Row],[Black Male % White Male Avg Salary]],7),"")</f>
        <v>5.8239999999999995E-4</v>
      </c>
      <c r="E26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66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67" spans="1:6" ht="15.6" x14ac:dyDescent="0.3">
      <c r="A267" s="4" t="s">
        <v>275</v>
      </c>
      <c r="B26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67" s="29">
        <f>IFERROR(ROUND(PayGapsForMalesInRacialEthnicGroupsByOccupationalSeries[[#This Row],[ANHPI Male Occ Dist]]*PayGapsForMalesInRacialEthnicGroupsByOccupationalSeries[[#This Row],[ANHPI Male % White Male Avg Salary]],7),"")</f>
        <v>3.3541000000000001E-3</v>
      </c>
      <c r="D267" s="29">
        <f>IFERROR(ROUND(PayGapsForMalesInRacialEthnicGroupsByOccupationalSeries[[#This Row],[Black Male Occ Dist]]*PayGapsForMalesInRacialEthnicGroupsByOccupationalSeries[[#This Row],[Black Male % White Male Avg Salary]],7),"")</f>
        <v>4.5312E-3</v>
      </c>
      <c r="E267" s="29">
        <f>IFERROR(ROUND(PayGapsForMalesInRacialEthnicGroupsByOccupationalSeries[[#This Row],[Hispanic - Latino Male Occ Dist]]*PayGapsForMalesInRacialEthnicGroupsByOccupationalSeries[[#This Row],[Hispanic Latino % White Male Avg Salary]],7),"")</f>
        <v>4.3543999999999996E-3</v>
      </c>
      <c r="F267" s="81">
        <f>IFERROR(ROUND(PayGapsForMalesInRacialEthnicGroupsByOccupationalSeries[[#This Row],[Other Male Occ Dist]]*PayGapsForMalesInRacialEthnicGroupsByOccupationalSeries[[#This Row],[Other Male % White Male Salary]],7),"")</f>
        <v>6.4051999999999998E-3</v>
      </c>
    </row>
    <row r="268" spans="1:6" ht="15.6" x14ac:dyDescent="0.3">
      <c r="A268" s="4" t="s">
        <v>276</v>
      </c>
      <c r="B26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68" s="29">
        <f>IFERROR(ROUND(PayGapsForMalesInRacialEthnicGroupsByOccupationalSeries[[#This Row],[ANHPI Male Occ Dist]]*PayGapsForMalesInRacialEthnicGroupsByOccupationalSeries[[#This Row],[ANHPI Male % White Male Avg Salary]],7),"")</f>
        <v>1.5596E-3</v>
      </c>
      <c r="D268" s="29">
        <f>IFERROR(ROUND(PayGapsForMalesInRacialEthnicGroupsByOccupationalSeries[[#This Row],[Black Male Occ Dist]]*PayGapsForMalesInRacialEthnicGroupsByOccupationalSeries[[#This Row],[Black Male % White Male Avg Salary]],7),"")</f>
        <v>1.0088E-3</v>
      </c>
      <c r="E268" s="29">
        <f>IFERROR(ROUND(PayGapsForMalesInRacialEthnicGroupsByOccupationalSeries[[#This Row],[Hispanic - Latino Male Occ Dist]]*PayGapsForMalesInRacialEthnicGroupsByOccupationalSeries[[#This Row],[Hispanic Latino % White Male Avg Salary]],7),"")</f>
        <v>6.4249999999999995E-4</v>
      </c>
      <c r="F26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69" spans="1:6" ht="31.2" x14ac:dyDescent="0.3">
      <c r="A269" s="4" t="s">
        <v>277</v>
      </c>
      <c r="B26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69" s="29">
        <f>IFERROR(ROUND(PayGapsForMalesInRacialEthnicGroupsByOccupationalSeries[[#This Row],[ANHPI Male Occ Dist]]*PayGapsForMalesInRacialEthnicGroupsByOccupationalSeries[[#This Row],[ANHPI Male % White Male Avg Salary]],7),"")</f>
        <v>7.2650000000000004E-4</v>
      </c>
      <c r="D269" s="29">
        <f>IFERROR(ROUND(PayGapsForMalesInRacialEthnicGroupsByOccupationalSeries[[#This Row],[Black Male Occ Dist]]*PayGapsForMalesInRacialEthnicGroupsByOccupationalSeries[[#This Row],[Black Male % White Male Avg Salary]],7),"")</f>
        <v>2.3682999999999998E-3</v>
      </c>
      <c r="E269" s="29">
        <f>IFERROR(ROUND(PayGapsForMalesInRacialEthnicGroupsByOccupationalSeries[[#This Row],[Hispanic - Latino Male Occ Dist]]*PayGapsForMalesInRacialEthnicGroupsByOccupationalSeries[[#This Row],[Hispanic Latino % White Male Avg Salary]],7),"")</f>
        <v>1.1282E-3</v>
      </c>
      <c r="F269" s="81">
        <f>IFERROR(ROUND(PayGapsForMalesInRacialEthnicGroupsByOccupationalSeries[[#This Row],[Other Male Occ Dist]]*PayGapsForMalesInRacialEthnicGroupsByOccupationalSeries[[#This Row],[Other Male % White Male Salary]],7),"")</f>
        <v>1.6723E-3</v>
      </c>
    </row>
    <row r="270" spans="1:6" ht="31.2" x14ac:dyDescent="0.3">
      <c r="A270" s="4" t="s">
        <v>278</v>
      </c>
      <c r="B27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7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70" s="29">
        <f>IFERROR(ROUND(PayGapsForMalesInRacialEthnicGroupsByOccupationalSeries[[#This Row],[Black Male Occ Dist]]*PayGapsForMalesInRacialEthnicGroupsByOccupationalSeries[[#This Row],[Black Male % White Male Avg Salary]],7),"")</f>
        <v>4.5520000000000001E-4</v>
      </c>
      <c r="E27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70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71" spans="1:6" ht="15.6" x14ac:dyDescent="0.3">
      <c r="A271" s="4" t="s">
        <v>279</v>
      </c>
      <c r="B27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71" s="29">
        <f>IFERROR(ROUND(PayGapsForMalesInRacialEthnicGroupsByOccupationalSeries[[#This Row],[ANHPI Male Occ Dist]]*PayGapsForMalesInRacialEthnicGroupsByOccupationalSeries[[#This Row],[ANHPI Male % White Male Avg Salary]],7),"")</f>
        <v>2.7090999999999999E-3</v>
      </c>
      <c r="D271" s="29">
        <f>IFERROR(ROUND(PayGapsForMalesInRacialEthnicGroupsByOccupationalSeries[[#This Row],[Black Male Occ Dist]]*PayGapsForMalesInRacialEthnicGroupsByOccupationalSeries[[#This Row],[Black Male % White Male Avg Salary]],7),"")</f>
        <v>7.8542999999999998E-3</v>
      </c>
      <c r="E271" s="29">
        <f>IFERROR(ROUND(PayGapsForMalesInRacialEthnicGroupsByOccupationalSeries[[#This Row],[Hispanic - Latino Male Occ Dist]]*PayGapsForMalesInRacialEthnicGroupsByOccupationalSeries[[#This Row],[Hispanic Latino % White Male Avg Salary]],7),"")</f>
        <v>5.5120999999999998E-3</v>
      </c>
      <c r="F271" s="81">
        <f>IFERROR(ROUND(PayGapsForMalesInRacialEthnicGroupsByOccupationalSeries[[#This Row],[Other Male Occ Dist]]*PayGapsForMalesInRacialEthnicGroupsByOccupationalSeries[[#This Row],[Other Male % White Male Salary]],7),"")</f>
        <v>8.0166999999999999E-3</v>
      </c>
    </row>
    <row r="272" spans="1:6" ht="15.6" x14ac:dyDescent="0.3">
      <c r="A272" s="4" t="s">
        <v>280</v>
      </c>
      <c r="B27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7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72" s="29">
        <f>IFERROR(ROUND(PayGapsForMalesInRacialEthnicGroupsByOccupationalSeries[[#This Row],[Black Male Occ Dist]]*PayGapsForMalesInRacialEthnicGroupsByOccupationalSeries[[#This Row],[Black Male % White Male Avg Salary]],7),"")</f>
        <v>1.1761E-3</v>
      </c>
      <c r="E27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72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73" spans="1:6" ht="15.6" x14ac:dyDescent="0.3">
      <c r="A273" s="4" t="s">
        <v>281</v>
      </c>
      <c r="B27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7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73" s="29">
        <f>IFERROR(ROUND(PayGapsForMalesInRacialEthnicGroupsByOccupationalSeries[[#This Row],[Black Male Occ Dist]]*PayGapsForMalesInRacialEthnicGroupsByOccupationalSeries[[#This Row],[Black Male % White Male Avg Salary]],7),"")</f>
        <v>3.057E-4</v>
      </c>
      <c r="E27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73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74" spans="1:6" ht="15.6" x14ac:dyDescent="0.3">
      <c r="A274" s="4" t="s">
        <v>282</v>
      </c>
      <c r="B27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7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74" s="29">
        <f>IFERROR(ROUND(PayGapsForMalesInRacialEthnicGroupsByOccupationalSeries[[#This Row],[Black Male Occ Dist]]*PayGapsForMalesInRacialEthnicGroupsByOccupationalSeries[[#This Row],[Black Male % White Male Avg Salary]],7),"")</f>
        <v>5.3459999999999998E-4</v>
      </c>
      <c r="E27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74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75" spans="1:6" ht="15.6" x14ac:dyDescent="0.3">
      <c r="A275" s="4" t="s">
        <v>283</v>
      </c>
      <c r="B27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7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75" s="29">
        <f>IFERROR(ROUND(PayGapsForMalesInRacialEthnicGroupsByOccupationalSeries[[#This Row],[Black Male Occ Dist]]*PayGapsForMalesInRacialEthnicGroupsByOccupationalSeries[[#This Row],[Black Male % White Male Avg Salary]],7),"")</f>
        <v>1.5176E-3</v>
      </c>
      <c r="E275" s="29">
        <f>IFERROR(ROUND(PayGapsForMalesInRacialEthnicGroupsByOccupationalSeries[[#This Row],[Hispanic - Latino Male Occ Dist]]*PayGapsForMalesInRacialEthnicGroupsByOccupationalSeries[[#This Row],[Hispanic Latino % White Male Avg Salary]],7),"")</f>
        <v>8.6390000000000002E-4</v>
      </c>
      <c r="F275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76" spans="1:6" ht="31.2" x14ac:dyDescent="0.3">
      <c r="A276" s="4" t="s">
        <v>284</v>
      </c>
      <c r="B276" s="29">
        <f>IFERROR(ROUND(PayGapsForMalesInRacialEthnicGroupsByOccupationalSeries[[#This Row],[AIAN Male Occ Dist]]*PayGapsForMalesInRacialEthnicGroupsByOccupationalSeries[[#This Row],[AIAN Male % White Male Avg Salary]],7),"")</f>
        <v>2.18782E-2</v>
      </c>
      <c r="C276" s="29">
        <f>IFERROR(ROUND(PayGapsForMalesInRacialEthnicGroupsByOccupationalSeries[[#This Row],[ANHPI Male Occ Dist]]*PayGapsForMalesInRacialEthnicGroupsByOccupationalSeries[[#This Row],[ANHPI Male % White Male Avg Salary]],7),"")</f>
        <v>2.1429699999999999E-2</v>
      </c>
      <c r="D276" s="29">
        <f>IFERROR(ROUND(PayGapsForMalesInRacialEthnicGroupsByOccupationalSeries[[#This Row],[Black Male Occ Dist]]*PayGapsForMalesInRacialEthnicGroupsByOccupationalSeries[[#This Row],[Black Male % White Male Avg Salary]],7),"")</f>
        <v>2.1755799999999999E-2</v>
      </c>
      <c r="E276" s="29">
        <f>IFERROR(ROUND(PayGapsForMalesInRacialEthnicGroupsByOccupationalSeries[[#This Row],[Hispanic - Latino Male Occ Dist]]*PayGapsForMalesInRacialEthnicGroupsByOccupationalSeries[[#This Row],[Hispanic Latino % White Male Avg Salary]],7),"")</f>
        <v>4.2148600000000001E-2</v>
      </c>
      <c r="F276" s="81">
        <f>IFERROR(ROUND(PayGapsForMalesInRacialEthnicGroupsByOccupationalSeries[[#This Row],[Other Male Occ Dist]]*PayGapsForMalesInRacialEthnicGroupsByOccupationalSeries[[#This Row],[Other Male % White Male Salary]],7),"")</f>
        <v>2.2241299999999999E-2</v>
      </c>
    </row>
    <row r="277" spans="1:6" ht="31.2" x14ac:dyDescent="0.3">
      <c r="A277" s="4" t="s">
        <v>285</v>
      </c>
      <c r="B277" s="29">
        <f>IFERROR(ROUND(PayGapsForMalesInRacialEthnicGroupsByOccupationalSeries[[#This Row],[AIAN Male Occ Dist]]*PayGapsForMalesInRacialEthnicGroupsByOccupationalSeries[[#This Row],[AIAN Male % White Male Avg Salary]],7),"")</f>
        <v>1.5702899999999999E-2</v>
      </c>
      <c r="C277" s="29">
        <f>IFERROR(ROUND(PayGapsForMalesInRacialEthnicGroupsByOccupationalSeries[[#This Row],[ANHPI Male Occ Dist]]*PayGapsForMalesInRacialEthnicGroupsByOccupationalSeries[[#This Row],[ANHPI Male % White Male Avg Salary]],7),"")</f>
        <v>3.4297500000000002E-2</v>
      </c>
      <c r="D277" s="29">
        <f>IFERROR(ROUND(PayGapsForMalesInRacialEthnicGroupsByOccupationalSeries[[#This Row],[Black Male Occ Dist]]*PayGapsForMalesInRacialEthnicGroupsByOccupationalSeries[[#This Row],[Black Male % White Male Avg Salary]],7),"")</f>
        <v>3.9945300000000003E-2</v>
      </c>
      <c r="E277" s="29">
        <f>IFERROR(ROUND(PayGapsForMalesInRacialEthnicGroupsByOccupationalSeries[[#This Row],[Hispanic - Latino Male Occ Dist]]*PayGapsForMalesInRacialEthnicGroupsByOccupationalSeries[[#This Row],[Hispanic Latino % White Male Avg Salary]],7),"")</f>
        <v>6.7130200000000001E-2</v>
      </c>
      <c r="F277" s="81">
        <f>IFERROR(ROUND(PayGapsForMalesInRacialEthnicGroupsByOccupationalSeries[[#This Row],[Other Male Occ Dist]]*PayGapsForMalesInRacialEthnicGroupsByOccupationalSeries[[#This Row],[Other Male % White Male Salary]],7),"")</f>
        <v>3.3147799999999998E-2</v>
      </c>
    </row>
    <row r="278" spans="1:6" ht="15.6" x14ac:dyDescent="0.3">
      <c r="A278" s="4" t="s">
        <v>286</v>
      </c>
      <c r="B27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7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78" s="29">
        <f>IFERROR(ROUND(PayGapsForMalesInRacialEthnicGroupsByOccupationalSeries[[#This Row],[Black Male Occ Dist]]*PayGapsForMalesInRacialEthnicGroupsByOccupationalSeries[[#This Row],[Black Male % White Male Avg Salary]],7),"")</f>
        <v>6.269E-4</v>
      </c>
      <c r="E278" s="29">
        <f>IFERROR(ROUND(PayGapsForMalesInRacialEthnicGroupsByOccupationalSeries[[#This Row],[Hispanic - Latino Male Occ Dist]]*PayGapsForMalesInRacialEthnicGroupsByOccupationalSeries[[#This Row],[Hispanic Latino % White Male Avg Salary]],7),"")</f>
        <v>5.6389999999999999E-4</v>
      </c>
      <c r="F278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79" spans="1:6" ht="15.6" x14ac:dyDescent="0.3">
      <c r="A279" s="4" t="s">
        <v>287</v>
      </c>
      <c r="B27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7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79" s="29">
        <f>IFERROR(ROUND(PayGapsForMalesInRacialEthnicGroupsByOccupationalSeries[[#This Row],[Black Male Occ Dist]]*PayGapsForMalesInRacialEthnicGroupsByOccupationalSeries[[#This Row],[Black Male % White Male Avg Salary]],7),"")</f>
        <v>1.1378E-3</v>
      </c>
      <c r="E279" s="29">
        <f>IFERROR(ROUND(PayGapsForMalesInRacialEthnicGroupsByOccupationalSeries[[#This Row],[Hispanic - Latino Male Occ Dist]]*PayGapsForMalesInRacialEthnicGroupsByOccupationalSeries[[#This Row],[Hispanic Latino % White Male Avg Salary]],7),"")</f>
        <v>1.2443000000000001E-3</v>
      </c>
      <c r="F279" s="81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80" spans="1:6" ht="15.6" x14ac:dyDescent="0.3">
      <c r="A280" s="4" t="s">
        <v>288</v>
      </c>
      <c r="B280" s="29">
        <f>IFERROR(ROUND(PayGapsForMalesInRacialEthnicGroupsByOccupationalSeries[[#This Row],[AIAN Male Occ Dist]]*PayGapsForMalesInRacialEthnicGroupsByOccupationalSeries[[#This Row],[AIAN Male % White Male Avg Salary]],7),"")</f>
        <v>2.9271499999999999E-2</v>
      </c>
      <c r="C280" s="29">
        <f>IFERROR(ROUND(PayGapsForMalesInRacialEthnicGroupsByOccupationalSeries[[#This Row],[ANHPI Male Occ Dist]]*PayGapsForMalesInRacialEthnicGroupsByOccupationalSeries[[#This Row],[ANHPI Male % White Male Avg Salary]],7),"")</f>
        <v>1.9441099999999999E-2</v>
      </c>
      <c r="D280" s="29">
        <f>IFERROR(ROUND(PayGapsForMalesInRacialEthnicGroupsByOccupationalSeries[[#This Row],[Black Male Occ Dist]]*PayGapsForMalesInRacialEthnicGroupsByOccupationalSeries[[#This Row],[Black Male % White Male Avg Salary]],7),"")</f>
        <v>1.77707E-2</v>
      </c>
      <c r="E280" s="29">
        <f>IFERROR(ROUND(PayGapsForMalesInRacialEthnicGroupsByOccupationalSeries[[#This Row],[Hispanic - Latino Male Occ Dist]]*PayGapsForMalesInRacialEthnicGroupsByOccupationalSeries[[#This Row],[Hispanic Latino % White Male Avg Salary]],7),"")</f>
        <v>3.4708700000000002E-2</v>
      </c>
      <c r="F280" s="81">
        <f>IFERROR(ROUND(PayGapsForMalesInRacialEthnicGroupsByOccupationalSeries[[#This Row],[Other Male Occ Dist]]*PayGapsForMalesInRacialEthnicGroupsByOccupationalSeries[[#This Row],[Other Male % White Male Salary]],7),"")</f>
        <v>2.6236700000000002E-2</v>
      </c>
    </row>
    <row r="281" spans="1:6" ht="31.2" x14ac:dyDescent="0.3">
      <c r="A281" s="4" t="s">
        <v>289</v>
      </c>
      <c r="B28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81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81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8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81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82" spans="1:6" ht="15.6" x14ac:dyDescent="0.3">
      <c r="A282" s="4" t="s">
        <v>290</v>
      </c>
      <c r="B28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82" s="29">
        <f>IFERROR(ROUND(PayGapsForMalesInRacialEthnicGroupsByOccupationalSeries[[#This Row],[ANHPI Male Occ Dist]]*PayGapsForMalesInRacialEthnicGroupsByOccupationalSeries[[#This Row],[ANHPI Male % White Male Avg Salary]],7),"")</f>
        <v>1.4251999999999999E-3</v>
      </c>
      <c r="D282" s="29">
        <f>IFERROR(ROUND(PayGapsForMalesInRacialEthnicGroupsByOccupationalSeries[[#This Row],[Black Male Occ Dist]]*PayGapsForMalesInRacialEthnicGroupsByOccupationalSeries[[#This Row],[Black Male % White Male Avg Salary]],7),"")</f>
        <v>1.6479000000000001E-3</v>
      </c>
      <c r="E282" s="29">
        <f>IFERROR(ROUND(PayGapsForMalesInRacialEthnicGroupsByOccupationalSeries[[#This Row],[Hispanic - Latino Male Occ Dist]]*PayGapsForMalesInRacialEthnicGroupsByOccupationalSeries[[#This Row],[Hispanic Latino % White Male Avg Salary]],7),"")</f>
        <v>3.1893999999999998E-3</v>
      </c>
      <c r="F282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83" spans="1:6" ht="31.2" x14ac:dyDescent="0.3">
      <c r="A283" s="4" t="s">
        <v>291</v>
      </c>
      <c r="B28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8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8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83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83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84" spans="1:6" ht="31.2" x14ac:dyDescent="0.3">
      <c r="A284" s="4" t="s">
        <v>292</v>
      </c>
      <c r="B28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8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84" s="29">
        <f>IFERROR(ROUND(PayGapsForMalesInRacialEthnicGroupsByOccupationalSeries[[#This Row],[Black Male Occ Dist]]*PayGapsForMalesInRacialEthnicGroupsByOccupationalSeries[[#This Row],[Black Male % White Male Avg Salary]],7),"")</f>
        <v>5.4219999999999995E-4</v>
      </c>
      <c r="E284" s="29">
        <f>IFERROR(ROUND(PayGapsForMalesInRacialEthnicGroupsByOccupationalSeries[[#This Row],[Hispanic - Latino Male Occ Dist]]*PayGapsForMalesInRacialEthnicGroupsByOccupationalSeries[[#This Row],[Hispanic Latino % White Male Avg Salary]],7),"")</f>
        <v>1.8552E-3</v>
      </c>
      <c r="F284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85" spans="1:6" ht="15.6" x14ac:dyDescent="0.3">
      <c r="A285" s="4" t="s">
        <v>293</v>
      </c>
      <c r="B28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8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85" s="29">
        <f>IFERROR(ROUND(PayGapsForMalesInRacialEthnicGroupsByOccupationalSeries[[#This Row],[Black Male Occ Dist]]*PayGapsForMalesInRacialEthnicGroupsByOccupationalSeries[[#This Row],[Black Male % White Male Avg Salary]],7),"")</f>
        <v>7.1560000000000005E-4</v>
      </c>
      <c r="E285" s="29">
        <f>IFERROR(ROUND(PayGapsForMalesInRacialEthnicGroupsByOccupationalSeries[[#This Row],[Hispanic - Latino Male Occ Dist]]*PayGapsForMalesInRacialEthnicGroupsByOccupationalSeries[[#This Row],[Hispanic Latino % White Male Avg Salary]],7),"")</f>
        <v>8.2689999999999999E-4</v>
      </c>
      <c r="F285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86" spans="1:6" ht="15.6" x14ac:dyDescent="0.3">
      <c r="A286" s="4" t="s">
        <v>294</v>
      </c>
      <c r="B28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86" s="29">
        <f>IFERROR(ROUND(PayGapsForMalesInRacialEthnicGroupsByOccupationalSeries[[#This Row],[ANHPI Male Occ Dist]]*PayGapsForMalesInRacialEthnicGroupsByOccupationalSeries[[#This Row],[ANHPI Male % White Male Avg Salary]],7),"")</f>
        <v>2.0907E-3</v>
      </c>
      <c r="D286" s="29">
        <f>IFERROR(ROUND(PayGapsForMalesInRacialEthnicGroupsByOccupationalSeries[[#This Row],[Black Male Occ Dist]]*PayGapsForMalesInRacialEthnicGroupsByOccupationalSeries[[#This Row],[Black Male % White Male Avg Salary]],7),"")</f>
        <v>3.0812999999999999E-3</v>
      </c>
      <c r="E286" s="29">
        <f>IFERROR(ROUND(PayGapsForMalesInRacialEthnicGroupsByOccupationalSeries[[#This Row],[Hispanic - Latino Male Occ Dist]]*PayGapsForMalesInRacialEthnicGroupsByOccupationalSeries[[#This Row],[Hispanic Latino % White Male Avg Salary]],7),"")</f>
        <v>3.6020000000000002E-3</v>
      </c>
      <c r="F286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87" spans="1:6" ht="15.6" x14ac:dyDescent="0.3">
      <c r="A287" s="4" t="s">
        <v>295</v>
      </c>
      <c r="B28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8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87" s="29">
        <f>IFERROR(ROUND(PayGapsForMalesInRacialEthnicGroupsByOccupationalSeries[[#This Row],[Black Male Occ Dist]]*PayGapsForMalesInRacialEthnicGroupsByOccupationalSeries[[#This Row],[Black Male % White Male Avg Salary]],7),"")</f>
        <v>1.1873000000000001E-3</v>
      </c>
      <c r="E287" s="29">
        <f>IFERROR(ROUND(PayGapsForMalesInRacialEthnicGroupsByOccupationalSeries[[#This Row],[Hispanic - Latino Male Occ Dist]]*PayGapsForMalesInRacialEthnicGroupsByOccupationalSeries[[#This Row],[Hispanic Latino % White Male Avg Salary]],7),"")</f>
        <v>1.3392E-3</v>
      </c>
      <c r="F287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88" spans="1:6" ht="31.2" x14ac:dyDescent="0.3">
      <c r="A288" s="4" t="s">
        <v>296</v>
      </c>
      <c r="B28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8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88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28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88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89" spans="1:6" ht="15.6" x14ac:dyDescent="0.3">
      <c r="A289" s="4" t="s">
        <v>297</v>
      </c>
      <c r="B28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8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89" s="29">
        <f>IFERROR(ROUND(PayGapsForMalesInRacialEthnicGroupsByOccupationalSeries[[#This Row],[Black Male Occ Dist]]*PayGapsForMalesInRacialEthnicGroupsByOccupationalSeries[[#This Row],[Black Male % White Male Avg Salary]],7),"")</f>
        <v>4.1550000000000002E-4</v>
      </c>
      <c r="E289" s="29">
        <f>IFERROR(ROUND(PayGapsForMalesInRacialEthnicGroupsByOccupationalSeries[[#This Row],[Hispanic - Latino Male Occ Dist]]*PayGapsForMalesInRacialEthnicGroupsByOccupationalSeries[[#This Row],[Hispanic Latino % White Male Avg Salary]],7),"")</f>
        <v>6.8110000000000002E-4</v>
      </c>
      <c r="F289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90" spans="1:6" ht="15.6" x14ac:dyDescent="0.3">
      <c r="A290" s="4" t="s">
        <v>298</v>
      </c>
      <c r="B29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9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90" s="29">
        <f>IFERROR(ROUND(PayGapsForMalesInRacialEthnicGroupsByOccupationalSeries[[#This Row],[Black Male Occ Dist]]*PayGapsForMalesInRacialEthnicGroupsByOccupationalSeries[[#This Row],[Black Male % White Male Avg Salary]],7),"")</f>
        <v>1.9900000000000001E-4</v>
      </c>
      <c r="E29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90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91" spans="1:6" ht="15.6" x14ac:dyDescent="0.3">
      <c r="A291" s="4" t="s">
        <v>299</v>
      </c>
      <c r="B291" s="29">
        <f>IFERROR(ROUND(PayGapsForMalesInRacialEthnicGroupsByOccupationalSeries[[#This Row],[AIAN Male Occ Dist]]*PayGapsForMalesInRacialEthnicGroupsByOccupationalSeries[[#This Row],[AIAN Male % White Male Avg Salary]],7),"")</f>
        <v>7.8680999999999994E-3</v>
      </c>
      <c r="C291" s="29">
        <f>IFERROR(ROUND(PayGapsForMalesInRacialEthnicGroupsByOccupationalSeries[[#This Row],[ANHPI Male Occ Dist]]*PayGapsForMalesInRacialEthnicGroupsByOccupationalSeries[[#This Row],[ANHPI Male % White Male Avg Salary]],7),"")</f>
        <v>2.2757800000000002E-2</v>
      </c>
      <c r="D291" s="29">
        <f>IFERROR(ROUND(PayGapsForMalesInRacialEthnicGroupsByOccupationalSeries[[#This Row],[Black Male Occ Dist]]*PayGapsForMalesInRacialEthnicGroupsByOccupationalSeries[[#This Row],[Black Male % White Male Avg Salary]],7),"")</f>
        <v>1.2605099999999999E-2</v>
      </c>
      <c r="E291" s="29">
        <f>IFERROR(ROUND(PayGapsForMalesInRacialEthnicGroupsByOccupationalSeries[[#This Row],[Hispanic - Latino Male Occ Dist]]*PayGapsForMalesInRacialEthnicGroupsByOccupationalSeries[[#This Row],[Hispanic Latino % White Male Avg Salary]],7),"")</f>
        <v>6.2226200000000002E-2</v>
      </c>
      <c r="F291" s="81">
        <f>IFERROR(ROUND(PayGapsForMalesInRacialEthnicGroupsByOccupationalSeries[[#This Row],[Other Male Occ Dist]]*PayGapsForMalesInRacialEthnicGroupsByOccupationalSeries[[#This Row],[Other Male % White Male Salary]],7),"")</f>
        <v>1.9879399999999998E-2</v>
      </c>
    </row>
    <row r="292" spans="1:6" ht="31.2" x14ac:dyDescent="0.3">
      <c r="A292" s="4" t="s">
        <v>300</v>
      </c>
      <c r="B29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92" s="29">
        <f>IFERROR(ROUND(PayGapsForMalesInRacialEthnicGroupsByOccupationalSeries[[#This Row],[ANHPI Male Occ Dist]]*PayGapsForMalesInRacialEthnicGroupsByOccupationalSeries[[#This Row],[ANHPI Male % White Male Avg Salary]],7),"")</f>
        <v>2.9294E-3</v>
      </c>
      <c r="D292" s="29">
        <f>IFERROR(ROUND(PayGapsForMalesInRacialEthnicGroupsByOccupationalSeries[[#This Row],[Black Male Occ Dist]]*PayGapsForMalesInRacialEthnicGroupsByOccupationalSeries[[#This Row],[Black Male % White Male Avg Salary]],7),"")</f>
        <v>2.5051000000000001E-3</v>
      </c>
      <c r="E292" s="29">
        <f>IFERROR(ROUND(PayGapsForMalesInRacialEthnicGroupsByOccupationalSeries[[#This Row],[Hispanic - Latino Male Occ Dist]]*PayGapsForMalesInRacialEthnicGroupsByOccupationalSeries[[#This Row],[Hispanic Latino % White Male Avg Salary]],7),"")</f>
        <v>9.34088E-2</v>
      </c>
      <c r="F292" s="81">
        <f>IFERROR(ROUND(PayGapsForMalesInRacialEthnicGroupsByOccupationalSeries[[#This Row],[Other Male Occ Dist]]*PayGapsForMalesInRacialEthnicGroupsByOccupationalSeries[[#This Row],[Other Male % White Male Salary]],7),"")</f>
        <v>1.08355E-2</v>
      </c>
    </row>
    <row r="293" spans="1:6" ht="15.6" x14ac:dyDescent="0.3">
      <c r="A293" s="4" t="s">
        <v>301</v>
      </c>
      <c r="B29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93" s="29">
        <f>IFERROR(ROUND(PayGapsForMalesInRacialEthnicGroupsByOccupationalSeries[[#This Row],[ANHPI Male Occ Dist]]*PayGapsForMalesInRacialEthnicGroupsByOccupationalSeries[[#This Row],[ANHPI Male % White Male Avg Salary]],7),"")</f>
        <v>4.6461999999999996E-3</v>
      </c>
      <c r="D293" s="29">
        <f>IFERROR(ROUND(PayGapsForMalesInRacialEthnicGroupsByOccupationalSeries[[#This Row],[Black Male Occ Dist]]*PayGapsForMalesInRacialEthnicGroupsByOccupationalSeries[[#This Row],[Black Male % White Male Avg Salary]],7),"")</f>
        <v>7.5047000000000004E-3</v>
      </c>
      <c r="E293" s="29">
        <f>IFERROR(ROUND(PayGapsForMalesInRacialEthnicGroupsByOccupationalSeries[[#This Row],[Hispanic - Latino Male Occ Dist]]*PayGapsForMalesInRacialEthnicGroupsByOccupationalSeries[[#This Row],[Hispanic Latino % White Male Avg Salary]],7),"")</f>
        <v>5.9309000000000002E-3</v>
      </c>
      <c r="F293" s="81">
        <f>IFERROR(ROUND(PayGapsForMalesInRacialEthnicGroupsByOccupationalSeries[[#This Row],[Other Male Occ Dist]]*PayGapsForMalesInRacialEthnicGroupsByOccupationalSeries[[#This Row],[Other Male % White Male Salary]],7),"")</f>
        <v>1.06003E-2</v>
      </c>
    </row>
    <row r="294" spans="1:6" ht="31.2" x14ac:dyDescent="0.3">
      <c r="A294" s="4" t="s">
        <v>302</v>
      </c>
      <c r="B29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9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94" s="29">
        <f>IFERROR(ROUND(PayGapsForMalesInRacialEthnicGroupsByOccupationalSeries[[#This Row],[Black Male Occ Dist]]*PayGapsForMalesInRacialEthnicGroupsByOccupationalSeries[[#This Row],[Black Male % White Male Avg Salary]],7),"")</f>
        <v>1.1781999999999999E-3</v>
      </c>
      <c r="E294" s="29">
        <f>IFERROR(ROUND(PayGapsForMalesInRacialEthnicGroupsByOccupationalSeries[[#This Row],[Hispanic - Latino Male Occ Dist]]*PayGapsForMalesInRacialEthnicGroupsByOccupationalSeries[[#This Row],[Hispanic Latino % White Male Avg Salary]],7),"")</f>
        <v>1.0199E-3</v>
      </c>
      <c r="F294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295" spans="1:6" ht="15.6" x14ac:dyDescent="0.3">
      <c r="A295" s="4" t="s">
        <v>303</v>
      </c>
      <c r="B29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95" s="29">
        <f>IFERROR(ROUND(PayGapsForMalesInRacialEthnicGroupsByOccupationalSeries[[#This Row],[ANHPI Male Occ Dist]]*PayGapsForMalesInRacialEthnicGroupsByOccupationalSeries[[#This Row],[ANHPI Male % White Male Avg Salary]],7),"")</f>
        <v>2.5430000000000001E-3</v>
      </c>
      <c r="D295" s="29">
        <f>IFERROR(ROUND(PayGapsForMalesInRacialEthnicGroupsByOccupationalSeries[[#This Row],[Black Male Occ Dist]]*PayGapsForMalesInRacialEthnicGroupsByOccupationalSeries[[#This Row],[Black Male % White Male Avg Salary]],7),"")</f>
        <v>4.8634999999999998E-3</v>
      </c>
      <c r="E295" s="29">
        <f>IFERROR(ROUND(PayGapsForMalesInRacialEthnicGroupsByOccupationalSeries[[#This Row],[Hispanic - Latino Male Occ Dist]]*PayGapsForMalesInRacialEthnicGroupsByOccupationalSeries[[#This Row],[Hispanic Latino % White Male Avg Salary]],7),"")</f>
        <v>2.2323999999999998E-3</v>
      </c>
      <c r="F295" s="81">
        <f>IFERROR(ROUND(PayGapsForMalesInRacialEthnicGroupsByOccupationalSeries[[#This Row],[Other Male Occ Dist]]*PayGapsForMalesInRacialEthnicGroupsByOccupationalSeries[[#This Row],[Other Male % White Male Salary]],7),"")</f>
        <v>2.8400000000000001E-3</v>
      </c>
    </row>
    <row r="296" spans="1:6" ht="15.6" x14ac:dyDescent="0.3">
      <c r="A296" s="4" t="s">
        <v>304</v>
      </c>
      <c r="B29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96" s="29">
        <f>IFERROR(ROUND(PayGapsForMalesInRacialEthnicGroupsByOccupationalSeries[[#This Row],[ANHPI Male Occ Dist]]*PayGapsForMalesInRacialEthnicGroupsByOccupationalSeries[[#This Row],[ANHPI Male % White Male Avg Salary]],7),"")</f>
        <v>2.0208000000000001E-3</v>
      </c>
      <c r="D296" s="29">
        <f>IFERROR(ROUND(PayGapsForMalesInRacialEthnicGroupsByOccupationalSeries[[#This Row],[Black Male Occ Dist]]*PayGapsForMalesInRacialEthnicGroupsByOccupationalSeries[[#This Row],[Black Male % White Male Avg Salary]],7),"")</f>
        <v>4.5522000000000002E-3</v>
      </c>
      <c r="E296" s="29">
        <f>IFERROR(ROUND(PayGapsForMalesInRacialEthnicGroupsByOccupationalSeries[[#This Row],[Hispanic - Latino Male Occ Dist]]*PayGapsForMalesInRacialEthnicGroupsByOccupationalSeries[[#This Row],[Hispanic Latino % White Male Avg Salary]],7),"")</f>
        <v>2.1454E-3</v>
      </c>
      <c r="F296" s="81">
        <f>IFERROR(ROUND(PayGapsForMalesInRacialEthnicGroupsByOccupationalSeries[[#This Row],[Other Male Occ Dist]]*PayGapsForMalesInRacialEthnicGroupsByOccupationalSeries[[#This Row],[Other Male % White Male Salary]],7),"")</f>
        <v>2.6039000000000001E-3</v>
      </c>
    </row>
    <row r="297" spans="1:6" ht="15.6" x14ac:dyDescent="0.3">
      <c r="A297" s="4" t="s">
        <v>305</v>
      </c>
      <c r="B297" s="29">
        <f>IFERROR(ROUND(PayGapsForMalesInRacialEthnicGroupsByOccupationalSeries[[#This Row],[AIAN Male Occ Dist]]*PayGapsForMalesInRacialEthnicGroupsByOccupationalSeries[[#This Row],[AIAN Male % White Male Avg Salary]],7),"")</f>
        <v>1.03666E-2</v>
      </c>
      <c r="C297" s="29">
        <f>IFERROR(ROUND(PayGapsForMalesInRacialEthnicGroupsByOccupationalSeries[[#This Row],[ANHPI Male Occ Dist]]*PayGapsForMalesInRacialEthnicGroupsByOccupationalSeries[[#This Row],[ANHPI Male % White Male Avg Salary]],7),"")</f>
        <v>5.1212000000000002E-3</v>
      </c>
      <c r="D297" s="29">
        <f>IFERROR(ROUND(PayGapsForMalesInRacialEthnicGroupsByOccupationalSeries[[#This Row],[Black Male Occ Dist]]*PayGapsForMalesInRacialEthnicGroupsByOccupationalSeries[[#This Row],[Black Male % White Male Avg Salary]],7),"")</f>
        <v>1.2944900000000001E-2</v>
      </c>
      <c r="E297" s="29">
        <f>IFERROR(ROUND(PayGapsForMalesInRacialEthnicGroupsByOccupationalSeries[[#This Row],[Hispanic - Latino Male Occ Dist]]*PayGapsForMalesInRacialEthnicGroupsByOccupationalSeries[[#This Row],[Hispanic Latino % White Male Avg Salary]],7),"")</f>
        <v>5.9179999999999996E-3</v>
      </c>
      <c r="F297" s="81">
        <f>IFERROR(ROUND(PayGapsForMalesInRacialEthnicGroupsByOccupationalSeries[[#This Row],[Other Male Occ Dist]]*PayGapsForMalesInRacialEthnicGroupsByOccupationalSeries[[#This Row],[Other Male % White Male Salary]],7),"")</f>
        <v>6.1285999999999997E-3</v>
      </c>
    </row>
    <row r="298" spans="1:6" ht="15.6" x14ac:dyDescent="0.3">
      <c r="A298" s="4" t="s">
        <v>306</v>
      </c>
      <c r="B298" s="29">
        <f>IFERROR(ROUND(PayGapsForMalesInRacialEthnicGroupsByOccupationalSeries[[#This Row],[AIAN Male Occ Dist]]*PayGapsForMalesInRacialEthnicGroupsByOccupationalSeries[[#This Row],[AIAN Male % White Male Avg Salary]],7),"")</f>
        <v>5.5753E-3</v>
      </c>
      <c r="C298" s="29">
        <f>IFERROR(ROUND(PayGapsForMalesInRacialEthnicGroupsByOccupationalSeries[[#This Row],[ANHPI Male Occ Dist]]*PayGapsForMalesInRacialEthnicGroupsByOccupationalSeries[[#This Row],[ANHPI Male % White Male Avg Salary]],7),"")</f>
        <v>3.2431999999999999E-3</v>
      </c>
      <c r="D298" s="29">
        <f>IFERROR(ROUND(PayGapsForMalesInRacialEthnicGroupsByOccupationalSeries[[#This Row],[Black Male Occ Dist]]*PayGapsForMalesInRacialEthnicGroupsByOccupationalSeries[[#This Row],[Black Male % White Male Avg Salary]],7),"")</f>
        <v>9.3647999999999995E-3</v>
      </c>
      <c r="E298" s="29">
        <f>IFERROR(ROUND(PayGapsForMalesInRacialEthnicGroupsByOccupationalSeries[[#This Row],[Hispanic - Latino Male Occ Dist]]*PayGapsForMalesInRacialEthnicGroupsByOccupationalSeries[[#This Row],[Hispanic Latino % White Male Avg Salary]],7),"")</f>
        <v>3.8016E-3</v>
      </c>
      <c r="F298" s="81">
        <f>IFERROR(ROUND(PayGapsForMalesInRacialEthnicGroupsByOccupationalSeries[[#This Row],[Other Male Occ Dist]]*PayGapsForMalesInRacialEthnicGroupsByOccupationalSeries[[#This Row],[Other Male % White Male Salary]],7),"")</f>
        <v>4.5097000000000002E-3</v>
      </c>
    </row>
    <row r="299" spans="1:6" ht="31.2" x14ac:dyDescent="0.3">
      <c r="A299" s="4" t="s">
        <v>307</v>
      </c>
      <c r="B29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29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299" s="29">
        <f>IFERROR(ROUND(PayGapsForMalesInRacialEthnicGroupsByOccupationalSeries[[#This Row],[Black Male Occ Dist]]*PayGapsForMalesInRacialEthnicGroupsByOccupationalSeries[[#This Row],[Black Male % White Male Avg Salary]],7),"")</f>
        <v>9.7000000000000005E-4</v>
      </c>
      <c r="E299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299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00" spans="1:6" ht="15.6" x14ac:dyDescent="0.3">
      <c r="A300" s="4" t="s">
        <v>308</v>
      </c>
      <c r="B30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0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00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00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00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01" spans="1:6" ht="15.6" x14ac:dyDescent="0.3">
      <c r="A301" s="4" t="s">
        <v>309</v>
      </c>
      <c r="B30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01" s="29">
        <f>IFERROR(ROUND(PayGapsForMalesInRacialEthnicGroupsByOccupationalSeries[[#This Row],[ANHPI Male Occ Dist]]*PayGapsForMalesInRacialEthnicGroupsByOccupationalSeries[[#This Row],[ANHPI Male % White Male Avg Salary]],7),"")</f>
        <v>2.6850000000000002E-4</v>
      </c>
      <c r="D301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01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01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02" spans="1:6" ht="15.6" x14ac:dyDescent="0.3">
      <c r="A302" s="4" t="s">
        <v>310</v>
      </c>
      <c r="B30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02" s="29">
        <f>IFERROR(ROUND(PayGapsForMalesInRacialEthnicGroupsByOccupationalSeries[[#This Row],[ANHPI Male Occ Dist]]*PayGapsForMalesInRacialEthnicGroupsByOccupationalSeries[[#This Row],[ANHPI Male % White Male Avg Salary]],7),"")</f>
        <v>5.2871999999999997E-3</v>
      </c>
      <c r="D302" s="29">
        <f>IFERROR(ROUND(PayGapsForMalesInRacialEthnicGroupsByOccupationalSeries[[#This Row],[Black Male Occ Dist]]*PayGapsForMalesInRacialEthnicGroupsByOccupationalSeries[[#This Row],[Black Male % White Male Avg Salary]],7),"")</f>
        <v>5.3116999999999999E-3</v>
      </c>
      <c r="E302" s="29">
        <f>IFERROR(ROUND(PayGapsForMalesInRacialEthnicGroupsByOccupationalSeries[[#This Row],[Hispanic - Latino Male Occ Dist]]*PayGapsForMalesInRacialEthnicGroupsByOccupationalSeries[[#This Row],[Hispanic Latino % White Male Avg Salary]],7),"")</f>
        <v>7.6360999999999998E-3</v>
      </c>
      <c r="F302" s="81">
        <f>IFERROR(ROUND(PayGapsForMalesInRacialEthnicGroupsByOccupationalSeries[[#This Row],[Other Male Occ Dist]]*PayGapsForMalesInRacialEthnicGroupsByOccupationalSeries[[#This Row],[Other Male % White Male Salary]],7),"")</f>
        <v>8.7071000000000006E-3</v>
      </c>
    </row>
    <row r="303" spans="1:6" ht="31.2" x14ac:dyDescent="0.3">
      <c r="A303" s="4" t="s">
        <v>311</v>
      </c>
      <c r="B30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03" s="29">
        <f>IFERROR(ROUND(PayGapsForMalesInRacialEthnicGroupsByOccupationalSeries[[#This Row],[ANHPI Male Occ Dist]]*PayGapsForMalesInRacialEthnicGroupsByOccupationalSeries[[#This Row],[ANHPI Male % White Male Avg Salary]],7),"")</f>
        <v>1.4446999999999999E-3</v>
      </c>
      <c r="D303" s="29">
        <f>IFERROR(ROUND(PayGapsForMalesInRacialEthnicGroupsByOccupationalSeries[[#This Row],[Black Male Occ Dist]]*PayGapsForMalesInRacialEthnicGroupsByOccupationalSeries[[#This Row],[Black Male % White Male Avg Salary]],7),"")</f>
        <v>3.1943000000000002E-3</v>
      </c>
      <c r="E303" s="29">
        <f>IFERROR(ROUND(PayGapsForMalesInRacialEthnicGroupsByOccupationalSeries[[#This Row],[Hispanic - Latino Male Occ Dist]]*PayGapsForMalesInRacialEthnicGroupsByOccupationalSeries[[#This Row],[Hispanic Latino % White Male Avg Salary]],7),"")</f>
        <v>1.7825E-3</v>
      </c>
      <c r="F303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04" spans="1:6" ht="15.6" x14ac:dyDescent="0.3">
      <c r="A304" s="4" t="s">
        <v>312</v>
      </c>
      <c r="B30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0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0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0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04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05" spans="1:6" ht="15.6" x14ac:dyDescent="0.3">
      <c r="A305" s="4" t="s">
        <v>313</v>
      </c>
      <c r="B30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0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0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05" s="29">
        <f>IFERROR(ROUND(PayGapsForMalesInRacialEthnicGroupsByOccupationalSeries[[#This Row],[Hispanic - Latino Male Occ Dist]]*PayGapsForMalesInRacialEthnicGroupsByOccupationalSeries[[#This Row],[Hispanic Latino % White Male Avg Salary]],7),"")</f>
        <v>1.6033E-3</v>
      </c>
      <c r="F305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06" spans="1:6" ht="15.6" x14ac:dyDescent="0.3">
      <c r="A306" s="4" t="s">
        <v>314</v>
      </c>
      <c r="B306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06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06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06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06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07" spans="1:6" ht="15.6" x14ac:dyDescent="0.3">
      <c r="A307" s="4" t="s">
        <v>315</v>
      </c>
      <c r="B307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07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07" s="29">
        <f>IFERROR(ROUND(PayGapsForMalesInRacialEthnicGroupsByOccupationalSeries[[#This Row],[Black Male Occ Dist]]*PayGapsForMalesInRacialEthnicGroupsByOccupationalSeries[[#This Row],[Black Male % White Male Avg Salary]],7),"")</f>
        <v>2.1662000000000001E-3</v>
      </c>
      <c r="E307" s="29">
        <f>IFERROR(ROUND(PayGapsForMalesInRacialEthnicGroupsByOccupationalSeries[[#This Row],[Hispanic - Latino Male Occ Dist]]*PayGapsForMalesInRacialEthnicGroupsByOccupationalSeries[[#This Row],[Hispanic Latino % White Male Avg Salary]],7),"")</f>
        <v>9.3360000000000003E-4</v>
      </c>
      <c r="F307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08" spans="1:6" ht="15.6" x14ac:dyDescent="0.3">
      <c r="A308" s="4" t="s">
        <v>316</v>
      </c>
      <c r="B308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08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08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08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08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09" spans="1:6" ht="15.6" x14ac:dyDescent="0.3">
      <c r="A309" s="4" t="s">
        <v>317</v>
      </c>
      <c r="B30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09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09" s="29">
        <f>IFERROR(ROUND(PayGapsForMalesInRacialEthnicGroupsByOccupationalSeries[[#This Row],[Black Male Occ Dist]]*PayGapsForMalesInRacialEthnicGroupsByOccupationalSeries[[#This Row],[Black Male % White Male Avg Salary]],7),"")</f>
        <v>1.7162E-3</v>
      </c>
      <c r="E309" s="29">
        <f>IFERROR(ROUND(PayGapsForMalesInRacialEthnicGroupsByOccupationalSeries[[#This Row],[Hispanic - Latino Male Occ Dist]]*PayGapsForMalesInRacialEthnicGroupsByOccupationalSeries[[#This Row],[Hispanic Latino % White Male Avg Salary]],7),"")</f>
        <v>1.4706000000000001E-3</v>
      </c>
      <c r="F309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10" spans="1:6" ht="15.6" x14ac:dyDescent="0.3">
      <c r="A310" s="4" t="s">
        <v>318</v>
      </c>
      <c r="B310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10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10" s="29">
        <f>IFERROR(ROUND(PayGapsForMalesInRacialEthnicGroupsByOccupationalSeries[[#This Row],[Black Male Occ Dist]]*PayGapsForMalesInRacialEthnicGroupsByOccupationalSeries[[#This Row],[Black Male % White Male Avg Salary]],7),"")</f>
        <v>8.7960000000000002E-4</v>
      </c>
      <c r="E310" s="29">
        <f>IFERROR(ROUND(PayGapsForMalesInRacialEthnicGroupsByOccupationalSeries[[#This Row],[Hispanic - Latino Male Occ Dist]]*PayGapsForMalesInRacialEthnicGroupsByOccupationalSeries[[#This Row],[Hispanic Latino % White Male Avg Salary]],7),"")</f>
        <v>6.5059999999999998E-4</v>
      </c>
      <c r="F310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11" spans="1:6" ht="15.6" x14ac:dyDescent="0.3">
      <c r="A311" s="4" t="s">
        <v>319</v>
      </c>
      <c r="B311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11" s="29">
        <f>IFERROR(ROUND(PayGapsForMalesInRacialEthnicGroupsByOccupationalSeries[[#This Row],[ANHPI Male Occ Dist]]*PayGapsForMalesInRacialEthnicGroupsByOccupationalSeries[[#This Row],[ANHPI Male % White Male Avg Salary]],7),"")</f>
        <v>7.5332000000000003E-3</v>
      </c>
      <c r="D311" s="29">
        <f>IFERROR(ROUND(PayGapsForMalesInRacialEthnicGroupsByOccupationalSeries[[#This Row],[Black Male Occ Dist]]*PayGapsForMalesInRacialEthnicGroupsByOccupationalSeries[[#This Row],[Black Male % White Male Avg Salary]],7),"")</f>
        <v>8.6694000000000007E-3</v>
      </c>
      <c r="E311" s="29">
        <f>IFERROR(ROUND(PayGapsForMalesInRacialEthnicGroupsByOccupationalSeries[[#This Row],[Hispanic - Latino Male Occ Dist]]*PayGapsForMalesInRacialEthnicGroupsByOccupationalSeries[[#This Row],[Hispanic Latino % White Male Avg Salary]],7),"")</f>
        <v>1.5116900000000001E-2</v>
      </c>
      <c r="F311" s="81">
        <f>IFERROR(ROUND(PayGapsForMalesInRacialEthnicGroupsByOccupationalSeries[[#This Row],[Other Male Occ Dist]]*PayGapsForMalesInRacialEthnicGroupsByOccupationalSeries[[#This Row],[Other Male % White Male Salary]],7),"")</f>
        <v>2.15342E-2</v>
      </c>
    </row>
    <row r="312" spans="1:6" ht="15.6" x14ac:dyDescent="0.3">
      <c r="A312" s="4" t="s">
        <v>320</v>
      </c>
      <c r="B312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12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12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12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12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13" spans="1:6" ht="15.6" x14ac:dyDescent="0.3">
      <c r="A313" s="4" t="s">
        <v>321</v>
      </c>
      <c r="B313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13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13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13" s="29">
        <f>IFERROR(ROUND(PayGapsForMalesInRacialEthnicGroupsByOccupationalSeries[[#This Row],[Hispanic - Latino Male Occ Dist]]*PayGapsForMalesInRacialEthnicGroupsByOccupationalSeries[[#This Row],[Hispanic Latino % White Male Avg Salary]],7),"")</f>
        <v>1.0640999999999999E-3</v>
      </c>
      <c r="F313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14" spans="1:6" ht="15.6" x14ac:dyDescent="0.3">
      <c r="A314" s="4" t="s">
        <v>322</v>
      </c>
      <c r="B314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14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14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14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14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15" spans="1:6" ht="31.2" x14ac:dyDescent="0.3">
      <c r="A315" s="4" t="s">
        <v>323</v>
      </c>
      <c r="B315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15" s="29" t="str">
        <f>IFERROR(ROUND(PayGapsForMalesInRacialEthnicGroupsByOccupationalSeries[[#This Row],[ANHPI Male Occ Dist]]*PayGapsForMalesInRacialEthnicGroupsByOccupationalSeries[[#This Row],[ANHPI Male % White Male Avg Salary]],7),"")</f>
        <v/>
      </c>
      <c r="D315" s="29" t="str">
        <f>IFERROR(ROUND(PayGapsForMalesInRacialEthnicGroupsByOccupationalSeries[[#This Row],[Black Male Occ Dist]]*PayGapsForMalesInRacialEthnicGroupsByOccupationalSeries[[#This Row],[Black Male % White Male Avg Salary]],7),"")</f>
        <v/>
      </c>
      <c r="E315" s="29" t="str">
        <f>IFERROR(ROUND(PayGapsForMalesInRacialEthnicGroupsByOccupationalSeries[[#This Row],[Hispanic - Latino Male Occ Dist]]*PayGapsForMalesInRacialEthnicGroupsByOccupationalSeries[[#This Row],[Hispanic Latino % White Male Avg Salary]],7),"")</f>
        <v/>
      </c>
      <c r="F315" s="29" t="str">
        <f>IFERROR(ROUND(PayGapsForMalesInRacialEthnicGroupsByOccupationalSeries[[#This Row],[Other Male Occ Dist]]*PayGapsForMalesInRacialEthnicGroupsByOccupationalSeries[[#This Row],[Other Male % White Male Salary]],7),"")</f>
        <v/>
      </c>
    </row>
    <row r="316" spans="1:6" ht="31.2" x14ac:dyDescent="0.3">
      <c r="A316" s="4" t="s">
        <v>324</v>
      </c>
      <c r="B316" s="29">
        <f>IFERROR(ROUND(PayGapsForMalesInRacialEthnicGroupsByOccupationalSeries[[#This Row],[AIAN Male Occ Dist]]*PayGapsForMalesInRacialEthnicGroupsByOccupationalSeries[[#This Row],[AIAN Male % White Male Avg Salary]],7),"")</f>
        <v>5.7516100000000001E-2</v>
      </c>
      <c r="C316" s="29">
        <f>IFERROR(ROUND(PayGapsForMalesInRacialEthnicGroupsByOccupationalSeries[[#This Row],[ANHPI Male Occ Dist]]*PayGapsForMalesInRacialEthnicGroupsByOccupationalSeries[[#This Row],[ANHPI Male % White Male Avg Salary]],7),"")</f>
        <v>0.1083634</v>
      </c>
      <c r="D316" s="29">
        <f>IFERROR(ROUND(PayGapsForMalesInRacialEthnicGroupsByOccupationalSeries[[#This Row],[Black Male Occ Dist]]*PayGapsForMalesInRacialEthnicGroupsByOccupationalSeries[[#This Row],[Black Male % White Male Avg Salary]],7),"")</f>
        <v>8.5178100000000007E-2</v>
      </c>
      <c r="E316" s="29">
        <f>IFERROR(ROUND(PayGapsForMalesInRacialEthnicGroupsByOccupationalSeries[[#This Row],[Hispanic - Latino Male Occ Dist]]*PayGapsForMalesInRacialEthnicGroupsByOccupationalSeries[[#This Row],[Hispanic Latino % White Male Avg Salary]],7),"")</f>
        <v>4.3528699999999997E-2</v>
      </c>
      <c r="F316" s="81">
        <f>IFERROR(ROUND(PayGapsForMalesInRacialEthnicGroupsByOccupationalSeries[[#This Row],[Other Male Occ Dist]]*PayGapsForMalesInRacialEthnicGroupsByOccupationalSeries[[#This Row],[Other Male % White Male Salary]],7),"")</f>
        <v>8.2651100000000005E-2</v>
      </c>
    </row>
    <row r="317" spans="1:6" ht="15.6" x14ac:dyDescent="0.3">
      <c r="A317" s="4" t="s">
        <v>7</v>
      </c>
      <c r="B317" s="29">
        <f>IFERROR(ROUND(PayGapsForMalesInRacialEthnicGroupsByOccupationalSeries[[#This Row],[AIAN Male Occ Dist]]*PayGapsForMalesInRacialEthnicGroupsByOccupationalSeries[[#This Row],[AIAN Male % White Male Avg Salary]],7),"")</f>
        <v>0.29475879999999999</v>
      </c>
      <c r="C317" s="29">
        <f>IFERROR(ROUND(PayGapsForMalesInRacialEthnicGroupsByOccupationalSeries[[#This Row],[ANHPI Male Occ Dist]]*PayGapsForMalesInRacialEthnicGroupsByOccupationalSeries[[#This Row],[ANHPI Male % White Male Avg Salary]],7),"")</f>
        <v>5.5173600000000003E-2</v>
      </c>
      <c r="D317" s="29">
        <f>IFERROR(ROUND(PayGapsForMalesInRacialEthnicGroupsByOccupationalSeries[[#This Row],[Black Male Occ Dist]]*PayGapsForMalesInRacialEthnicGroupsByOccupationalSeries[[#This Row],[Black Male % White Male Avg Salary]],7),"")</f>
        <v>2.02769E-2</v>
      </c>
      <c r="E317" s="29">
        <f>IFERROR(ROUND(PayGapsForMalesInRacialEthnicGroupsByOccupationalSeries[[#This Row],[Hispanic - Latino Male Occ Dist]]*PayGapsForMalesInRacialEthnicGroupsByOccupationalSeries[[#This Row],[Hispanic Latino % White Male Avg Salary]],7),"")</f>
        <v>3.8653699999999999E-2</v>
      </c>
      <c r="F317" s="81">
        <f>IFERROR(ROUND(PayGapsForMalesInRacialEthnicGroupsByOccupationalSeries[[#This Row],[Other Male Occ Dist]]*PayGapsForMalesInRacialEthnicGroupsByOccupationalSeries[[#This Row],[Other Male % White Male Salary]],7),"")</f>
        <v>0.13745889999999999</v>
      </c>
    </row>
    <row r="318" spans="1:6" ht="15.6" x14ac:dyDescent="0.3">
      <c r="A318" s="4" t="s">
        <v>8</v>
      </c>
      <c r="B318" s="29">
        <f>SUM(B4:B317)</f>
        <v>0.93933979999999972</v>
      </c>
      <c r="C318" s="29">
        <f>SUM(C4:C317)</f>
        <v>1.0186220000000001</v>
      </c>
      <c r="D318" s="29">
        <f>SUM(D4:D317)</f>
        <v>0.98170330000000061</v>
      </c>
      <c r="E318" s="29">
        <f>SUM(E4:E317)</f>
        <v>0.96822759999999986</v>
      </c>
      <c r="F318" s="81">
        <f>SUM(F4:F317)</f>
        <v>0.94032419999999983</v>
      </c>
    </row>
    <row r="319" spans="1:6" ht="15.6" x14ac:dyDescent="0.3">
      <c r="A319" s="29"/>
      <c r="B319" s="29" t="str">
        <f>IFERROR(ROUND(PayGapsForMalesInRacialEthnicGroupsByOccupationalSeries[[#This Row],[AIAN Male Occ Dist]]*PayGapsForMalesInRacialEthnicGroupsByOccupationalSeries[[#This Row],[AIAN Male % White Male Avg Salary]],7),"")</f>
        <v/>
      </c>
      <c r="C319" s="29"/>
      <c r="D319" s="29"/>
      <c r="E319" s="29"/>
      <c r="F319" s="29"/>
    </row>
    <row r="320" spans="1:6" ht="15.6" x14ac:dyDescent="0.3">
      <c r="A320" s="29"/>
      <c r="B320" s="31">
        <f>B318</f>
        <v>0.93933979999999972</v>
      </c>
      <c r="C320" s="31">
        <f>C318</f>
        <v>1.0186220000000001</v>
      </c>
      <c r="D320" s="31">
        <f>D318</f>
        <v>0.98170330000000061</v>
      </c>
      <c r="E320" s="31">
        <f>E318</f>
        <v>0.96822759999999986</v>
      </c>
      <c r="F320" s="31">
        <f>F318</f>
        <v>0.94032419999999983</v>
      </c>
    </row>
  </sheetData>
  <sheetProtection algorithmName="SHA-512" hashValue="ov/gLStNn35f9JDTfjUHROV0tvHELDLOZjPX8ZwigBvPO8qsqwKdhuhaZCuDOvtln66BmOdZeyYQP3ybhgoORw==" saltValue="ocotVqhwZ/flcOvaVVap8A==" spinCount="100000" sheet="1" objects="1" scenarios="1" sort="0" autoFilter="0"/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75B00-5AB1-47C9-95E0-C60D263ACDBB}">
  <dimension ref="A1:AA318"/>
  <sheetViews>
    <sheetView view="pageBreakPreview" zoomScale="60" zoomScaleNormal="100" workbookViewId="0">
      <selection activeCell="M337" sqref="M337"/>
    </sheetView>
  </sheetViews>
  <sheetFormatPr defaultRowHeight="14.4" x14ac:dyDescent="0.3"/>
  <cols>
    <col min="1" max="1" width="44.5546875" customWidth="1"/>
    <col min="2" max="2" width="13.88671875" customWidth="1"/>
    <col min="3" max="3" width="17" customWidth="1"/>
    <col min="4" max="4" width="14.33203125" customWidth="1"/>
    <col min="5" max="5" width="13.109375" style="8" customWidth="1"/>
    <col min="6" max="6" width="11.33203125" customWidth="1"/>
    <col min="7" max="7" width="16.5546875" style="1" customWidth="1"/>
    <col min="8" max="8" width="12" style="48" customWidth="1"/>
    <col min="9" max="9" width="14" style="8" customWidth="1"/>
    <col min="10" max="10" width="15.5546875" style="6" customWidth="1"/>
    <col min="11" max="11" width="14.6640625" style="48" customWidth="1"/>
    <col min="12" max="12" width="13" style="10" customWidth="1"/>
    <col min="13" max="13" width="14.44140625" style="8" customWidth="1"/>
    <col min="14" max="14" width="15" style="6" customWidth="1"/>
    <col min="15" max="15" width="15.44140625" style="1" customWidth="1"/>
    <col min="16" max="16" width="14.109375" style="48" customWidth="1"/>
    <col min="17" max="17" width="16.88671875" style="8" customWidth="1"/>
    <col min="18" max="18" width="15.44140625" customWidth="1"/>
    <col min="19" max="19" width="18.6640625" style="48" customWidth="1"/>
    <col min="20" max="20" width="13.109375" style="48" customWidth="1"/>
    <col min="21" max="21" width="13.33203125" style="8" customWidth="1"/>
    <col min="22" max="22" width="12.44140625" style="6" customWidth="1"/>
    <col min="23" max="23" width="13.5546875" style="1" customWidth="1"/>
    <col min="26" max="26" width="10.5546875" bestFit="1" customWidth="1"/>
  </cols>
  <sheetData>
    <row r="1" spans="1:27" ht="21" x14ac:dyDescent="0.3">
      <c r="A1" s="2" t="s">
        <v>384</v>
      </c>
    </row>
    <row r="2" spans="1:27" ht="18.600000000000001" thickBot="1" x14ac:dyDescent="0.4">
      <c r="A2" s="3" t="s">
        <v>386</v>
      </c>
    </row>
    <row r="3" spans="1:27" ht="94.2" thickTop="1" x14ac:dyDescent="0.3">
      <c r="A3" s="44" t="s">
        <v>6</v>
      </c>
      <c r="B3" s="32" t="s">
        <v>328</v>
      </c>
      <c r="C3" s="33" t="s">
        <v>329</v>
      </c>
      <c r="D3" s="36" t="s">
        <v>371</v>
      </c>
      <c r="E3" s="35" t="s">
        <v>350</v>
      </c>
      <c r="F3" s="36" t="s">
        <v>372</v>
      </c>
      <c r="G3" s="37" t="s">
        <v>373</v>
      </c>
      <c r="H3" s="66" t="s">
        <v>351</v>
      </c>
      <c r="I3" s="35" t="s">
        <v>352</v>
      </c>
      <c r="J3" s="36" t="s">
        <v>353</v>
      </c>
      <c r="K3" s="37" t="s">
        <v>354</v>
      </c>
      <c r="L3" s="51" t="s">
        <v>355</v>
      </c>
      <c r="M3" s="35" t="s">
        <v>356</v>
      </c>
      <c r="N3" s="36" t="s">
        <v>357</v>
      </c>
      <c r="O3" s="50" t="s">
        <v>358</v>
      </c>
      <c r="P3" s="34" t="s">
        <v>359</v>
      </c>
      <c r="Q3" s="35" t="s">
        <v>360</v>
      </c>
      <c r="R3" s="36" t="s">
        <v>361</v>
      </c>
      <c r="S3" s="37" t="s">
        <v>362</v>
      </c>
      <c r="T3" s="49" t="s">
        <v>363</v>
      </c>
      <c r="U3" s="35" t="s">
        <v>364</v>
      </c>
      <c r="V3" s="36" t="s">
        <v>365</v>
      </c>
      <c r="W3" s="50" t="s">
        <v>366</v>
      </c>
      <c r="X3" s="51" t="s">
        <v>367</v>
      </c>
      <c r="Y3" s="35" t="s">
        <v>368</v>
      </c>
      <c r="Z3" s="36" t="s">
        <v>369</v>
      </c>
      <c r="AA3" s="37" t="s">
        <v>370</v>
      </c>
    </row>
    <row r="4" spans="1:27" ht="15.6" x14ac:dyDescent="0.3">
      <c r="A4" s="45" t="s">
        <v>15</v>
      </c>
      <c r="B4" s="38">
        <v>695</v>
      </c>
      <c r="C4" s="39">
        <v>112926.260431655</v>
      </c>
      <c r="D4" s="69">
        <f>IFERROR(FemalePayGapsByOccupationalSeriesAndRacialEthnicGroup[[#This Row],[White Female Employees]]/E$318,"")</f>
        <v>6.6593939075308109E-4</v>
      </c>
      <c r="E4" s="67">
        <v>304</v>
      </c>
      <c r="F4" s="64">
        <v>112922.088815789</v>
      </c>
      <c r="G4" s="72">
        <f>IFERROR(FemalePayGapsByOccupationalSeriesAndRacialEthnicGroup[[#This Row],[White Female Avg Salary]]/FemalePayGapsByOccupationalSeriesAndRacialEthnicGroup[[#This Row],[White Male Average Salary]],"")</f>
        <v>0.99996305893908066</v>
      </c>
      <c r="H4" s="10" t="str">
        <f>IFERROR(FemalePayGapsByOccupationalSeriesAndRacialEthnicGroup[[#This Row],[AIAN Female Employees]]/I$318,"")</f>
        <v/>
      </c>
      <c r="I4" t="s">
        <v>0</v>
      </c>
      <c r="J4" s="6" t="s">
        <v>0</v>
      </c>
      <c r="K4" s="52" t="str">
        <f>IFERROR(FemalePayGapsByOccupationalSeriesAndRacialEthnicGroup[[#This Row],[AIAN Female Avg Salary]]/FemalePayGapsByOccupationalSeriesAndRacialEthnicGroup[[#This Row],[White Male Average Salary]],"")</f>
        <v/>
      </c>
      <c r="L4" s="10" t="str">
        <f>IFERROR(FemalePayGapsByOccupationalSeriesAndRacialEthnicGroup[[#This Row],[ANHPI Female Employees]]/M$318,"")</f>
        <v/>
      </c>
      <c r="M4" s="8" t="s">
        <v>0</v>
      </c>
      <c r="N4" s="6" t="s">
        <v>0</v>
      </c>
      <c r="O4" s="63" t="str">
        <f>IFERROR(FemalePayGapsByOccupationalSeriesAndRacialEthnicGroup[[#This Row],[ANHPI Female Avg Salary]]/FemalePayGapsByOccupationalSeriesAndRacialEthnicGroup[[#This Row],[White Male Average Salary]],"")</f>
        <v/>
      </c>
      <c r="P4" s="10">
        <f>IFERROR(FemalePayGapsByOccupationalSeriesAndRacialEthnicGroup[[#This Row],[Black Female Employees]]/Q$318,"")</f>
        <v>1.1833757099066131E-3</v>
      </c>
      <c r="Q4" s="8">
        <v>249</v>
      </c>
      <c r="R4" s="6">
        <v>107572.57028112499</v>
      </c>
      <c r="S4" s="63">
        <f>IFERROR(FemalePayGapsByOccupationalSeriesAndRacialEthnicGroup[[#This Row],[Black Female Avg Salary]]/FemalePayGapsByOccupationalSeriesAndRacialEthnicGroup[[#This Row],[White Male Average Salary]],"")</f>
        <v>0.95259127389797738</v>
      </c>
      <c r="T4" s="10">
        <f>IFERROR(FemalePayGapsByOccupationalSeriesAndRacialEthnicGroup[[#This Row],[Hispanic Latino Female Employees]]/U$318,"")</f>
        <v>1.1536538781997871E-3</v>
      </c>
      <c r="U4" s="8">
        <v>90</v>
      </c>
      <c r="V4" s="6">
        <v>111179.96666666699</v>
      </c>
      <c r="W4" s="52">
        <f>IFERROR(FemalePayGapsByOccupationalSeriesAndRacialEthnicGroup[[#This Row],[Hispanic Latino Female Avg Salary]]/FemalePayGapsByOccupationalSeriesAndRacialEthnicGroup[[#This Row],[White Male Average Salary]],"")</f>
        <v>0.98453598163692946</v>
      </c>
      <c r="X4" s="10" t="str">
        <f>IFERROR(FemalePayGapsByOccupationalSeriesAndRacialEthnicGroup[[#This Row],[Other Female Employees]]/Y$318,"")</f>
        <v/>
      </c>
      <c r="Y4" s="8" t="s">
        <v>0</v>
      </c>
      <c r="Z4" s="6" t="s">
        <v>0</v>
      </c>
      <c r="AA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5" spans="1:27" ht="15.6" x14ac:dyDescent="0.3">
      <c r="A5" s="46" t="s">
        <v>16</v>
      </c>
      <c r="B5" s="40">
        <v>8514</v>
      </c>
      <c r="C5" s="41">
        <v>64583.877011629003</v>
      </c>
      <c r="D5" s="70">
        <f>IFERROR(FemalePayGapsByOccupationalSeriesAndRacialEthnicGroup[[#This Row],[White Female Employees]]/E$318,"")</f>
        <v>2.2124960021730655E-3</v>
      </c>
      <c r="E5" s="16">
        <v>1010</v>
      </c>
      <c r="F5" s="17">
        <v>62049.593069306997</v>
      </c>
      <c r="G5" s="18">
        <f>IFERROR(FemalePayGapsByOccupationalSeriesAndRacialEthnicGroup[[#This Row],[White Female Avg Salary]]/FemalePayGapsByOccupationalSeriesAndRacialEthnicGroup[[#This Row],[White Male Average Salary]],"")</f>
        <v>0.96075980477502643</v>
      </c>
      <c r="H5" s="10">
        <f>IFERROR(FemalePayGapsByOccupationalSeriesAndRacialEthnicGroup[[#This Row],[AIAN Female Employees]]/I$318,"")</f>
        <v>4.924012158054711E-3</v>
      </c>
      <c r="I5">
        <v>81</v>
      </c>
      <c r="J5" s="6">
        <v>59366.444444444001</v>
      </c>
      <c r="K5" s="52">
        <f>IFERROR(FemalePayGapsByOccupationalSeriesAndRacialEthnicGroup[[#This Row],[AIAN Female Avg Salary]]/FemalePayGapsByOccupationalSeriesAndRacialEthnicGroup[[#This Row],[White Male Average Salary]],"")</f>
        <v>0.91921462741783755</v>
      </c>
      <c r="L5" s="10">
        <f>IFERROR(FemalePayGapsByOccupationalSeriesAndRacialEthnicGroup[[#This Row],[ANHPI Female Employees]]/M$318,"")</f>
        <v>4.6761748889408465E-4</v>
      </c>
      <c r="M5" s="8">
        <v>30</v>
      </c>
      <c r="N5" s="6">
        <v>64206.333333333001</v>
      </c>
      <c r="O5" s="52">
        <f>IFERROR(FemalePayGapsByOccupationalSeriesAndRacialEthnicGroup[[#This Row],[ANHPI Female Avg Salary]]/FemalePayGapsByOccupationalSeriesAndRacialEthnicGroup[[#This Row],[White Male Average Salary]],"")</f>
        <v>0.99415421161185447</v>
      </c>
      <c r="P5" s="10">
        <f>IFERROR(FemalePayGapsByOccupationalSeriesAndRacialEthnicGroup[[#This Row],[Black Female Employees]]/Q$318,"")</f>
        <v>5.4368747475227524E-3</v>
      </c>
      <c r="Q5" s="8">
        <v>1144</v>
      </c>
      <c r="R5" s="6">
        <v>62409.126748251998</v>
      </c>
      <c r="S5" s="52">
        <f>IFERROR(FemalePayGapsByOccupationalSeriesAndRacialEthnicGroup[[#This Row],[Black Female Avg Salary]]/FemalePayGapsByOccupationalSeriesAndRacialEthnicGroup[[#This Row],[White Male Average Salary]],"")</f>
        <v>0.96632673100462185</v>
      </c>
      <c r="T5" s="10">
        <f>IFERROR(FemalePayGapsByOccupationalSeriesAndRacialEthnicGroup[[#This Row],[Hispanic Latino Female Employees]]/U$318,"")</f>
        <v>4.1916090907925599E-3</v>
      </c>
      <c r="U5" s="8">
        <v>327</v>
      </c>
      <c r="V5" s="6">
        <v>63414.214067278001</v>
      </c>
      <c r="W5" s="52">
        <f>IFERROR(FemalePayGapsByOccupationalSeriesAndRacialEthnicGroup[[#This Row],[Hispanic Latino Female Avg Salary]]/FemalePayGapsByOccupationalSeriesAndRacialEthnicGroup[[#This Row],[White Male Average Salary]],"")</f>
        <v>0.98188924235470731</v>
      </c>
      <c r="X5" s="10">
        <f>IFERROR(FemalePayGapsByOccupationalSeriesAndRacialEthnicGroup[[#This Row],[Other Female Employees]]/Y$318,"")</f>
        <v>2.8262958566502741E-3</v>
      </c>
      <c r="Y5" s="8">
        <v>50</v>
      </c>
      <c r="Z5" s="6">
        <v>59517.18</v>
      </c>
      <c r="AA5" s="1">
        <f>IFERROR(FemalePayGapsByOccupationalSeriesAndRacialEthnicGroup[[#This Row],[Other Female Avg Salary]]/FemalePayGapsByOccupationalSeriesAndRacialEthnicGroup[[#This Row],[White Male Average Salary]],"")</f>
        <v>0.9215485776625536</v>
      </c>
    </row>
    <row r="6" spans="1:27" ht="15.6" x14ac:dyDescent="0.3">
      <c r="A6" s="45" t="s">
        <v>17</v>
      </c>
      <c r="B6" s="38">
        <v>255</v>
      </c>
      <c r="C6" s="39">
        <v>101678.137254902</v>
      </c>
      <c r="D6" s="69">
        <f>IFERROR(FemalePayGapsByOccupationalSeriesAndRacialEthnicGroup[[#This Row],[White Female Employees]]/E$318,"")</f>
        <v>4.1621211922067568E-5</v>
      </c>
      <c r="E6" s="67">
        <v>19</v>
      </c>
      <c r="F6" s="64">
        <v>101947.157894737</v>
      </c>
      <c r="G6" s="72">
        <f>IFERROR(FemalePayGapsByOccupationalSeriesAndRacialEthnicGroup[[#This Row],[White Female Avg Salary]]/FemalePayGapsByOccupationalSeriesAndRacialEthnicGroup[[#This Row],[White Male Average Salary]],"")</f>
        <v>1.0026458061398251</v>
      </c>
      <c r="H6" s="10" t="str">
        <f>IFERROR(FemalePayGapsByOccupationalSeriesAndRacialEthnicGroup[[#This Row],[AIAN Female Employees]]/I$318,"")</f>
        <v/>
      </c>
      <c r="I6" t="s">
        <v>0</v>
      </c>
      <c r="J6" s="6" t="s">
        <v>0</v>
      </c>
      <c r="K6" s="52" t="str">
        <f>IFERROR(FemalePayGapsByOccupationalSeriesAndRacialEthnicGroup[[#This Row],[AIAN Female Avg Salary]]/FemalePayGapsByOccupationalSeriesAndRacialEthnicGroup[[#This Row],[White Male Average Salary]],"")</f>
        <v/>
      </c>
      <c r="L6" s="10" t="str">
        <f>IFERROR(FemalePayGapsByOccupationalSeriesAndRacialEthnicGroup[[#This Row],[ANHPI Female Employees]]/M$318,"")</f>
        <v/>
      </c>
      <c r="M6" s="8" t="s">
        <v>0</v>
      </c>
      <c r="N6" s="6" t="s">
        <v>0</v>
      </c>
      <c r="O6" s="52" t="str">
        <f>IFERROR(FemalePayGapsByOccupationalSeriesAndRacialEthnicGroup[[#This Row],[ANHPI Female Avg Salary]]/FemalePayGapsByOccupationalSeriesAndRacialEthnicGroup[[#This Row],[White Male Average Salary]],"")</f>
        <v/>
      </c>
      <c r="P6" s="10" t="str">
        <f>IFERROR(FemalePayGapsByOccupationalSeriesAndRacialEthnicGroup[[#This Row],[Black Female Employees]]/Q$318,"")</f>
        <v/>
      </c>
      <c r="Q6" s="8" t="s">
        <v>0</v>
      </c>
      <c r="R6" s="6" t="s">
        <v>0</v>
      </c>
      <c r="S6" s="52" t="str">
        <f>IFERROR(FemalePayGapsByOccupationalSeriesAndRacialEthnicGroup[[#This Row],[Black Female Avg Salary]]/FemalePayGapsByOccupationalSeriesAndRacialEthnicGroup[[#This Row],[White Male Average Salary]],"")</f>
        <v/>
      </c>
      <c r="T6" s="10" t="str">
        <f>IFERROR(FemalePayGapsByOccupationalSeriesAndRacialEthnicGroup[[#This Row],[Hispanic Latino Female Employees]]/U$318,"")</f>
        <v/>
      </c>
      <c r="U6" s="8" t="s">
        <v>0</v>
      </c>
      <c r="V6" s="6" t="s">
        <v>0</v>
      </c>
      <c r="W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6" s="10" t="str">
        <f>IFERROR(FemalePayGapsByOccupationalSeriesAndRacialEthnicGroup[[#This Row],[Other Female Employees]]/Y$318,"")</f>
        <v/>
      </c>
      <c r="Y6" s="8" t="s">
        <v>0</v>
      </c>
      <c r="Z6" s="6" t="s">
        <v>0</v>
      </c>
      <c r="AA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7" spans="1:27" ht="31.2" x14ac:dyDescent="0.3">
      <c r="A7" s="46" t="s">
        <v>18</v>
      </c>
      <c r="B7" s="40">
        <v>3514</v>
      </c>
      <c r="C7" s="41">
        <v>98615.298405466994</v>
      </c>
      <c r="D7" s="70">
        <f>IFERROR(FemalePayGapsByOccupationalSeriesAndRacialEthnicGroup[[#This Row],[White Female Employees]]/E$318,"")</f>
        <v>1.5991307738478591E-3</v>
      </c>
      <c r="E7" s="16">
        <v>730</v>
      </c>
      <c r="F7" s="17">
        <v>99832.493827159997</v>
      </c>
      <c r="G7" s="18">
        <f>IFERROR(FemalePayGapsByOccupationalSeriesAndRacialEthnicGroup[[#This Row],[White Female Avg Salary]]/FemalePayGapsByOccupationalSeriesAndRacialEthnicGroup[[#This Row],[White Male Average Salary]],"")</f>
        <v>1.0123428660803557</v>
      </c>
      <c r="H7" s="10" t="str">
        <f>IFERROR(FemalePayGapsByOccupationalSeriesAndRacialEthnicGroup[[#This Row],[AIAN Female Employees]]/I$318,"")</f>
        <v/>
      </c>
      <c r="I7" t="s">
        <v>0</v>
      </c>
      <c r="J7" s="6" t="s">
        <v>0</v>
      </c>
      <c r="K7" s="52" t="str">
        <f>IFERROR(FemalePayGapsByOccupationalSeriesAndRacialEthnicGroup[[#This Row],[AIAN Female Avg Salary]]/FemalePayGapsByOccupationalSeriesAndRacialEthnicGroup[[#This Row],[White Male Average Salary]],"")</f>
        <v/>
      </c>
      <c r="L7" s="10">
        <f>IFERROR(FemalePayGapsByOccupationalSeriesAndRacialEthnicGroup[[#This Row],[ANHPI Female Employees]]/M$318,"")</f>
        <v>1.0131712259371835E-3</v>
      </c>
      <c r="M7" s="8">
        <v>65</v>
      </c>
      <c r="N7" s="6">
        <v>97810.738461538</v>
      </c>
      <c r="O7" s="52">
        <f>IFERROR(FemalePayGapsByOccupationalSeriesAndRacialEthnicGroup[[#This Row],[ANHPI Female Avg Salary]]/FemalePayGapsByOccupationalSeriesAndRacialEthnicGroup[[#This Row],[White Male Average Salary]],"")</f>
        <v>0.99184142869374115</v>
      </c>
      <c r="P7" s="10">
        <f>IFERROR(FemalePayGapsByOccupationalSeriesAndRacialEthnicGroup[[#This Row],[Black Female Employees]]/Q$318,"")</f>
        <v>9.7901765558539087E-4</v>
      </c>
      <c r="Q7" s="8">
        <v>206</v>
      </c>
      <c r="R7" s="6">
        <v>102680.567961165</v>
      </c>
      <c r="S7" s="52">
        <f>IFERROR(FemalePayGapsByOccupationalSeriesAndRacialEthnicGroup[[#This Row],[Black Female Avg Salary]]/FemalePayGapsByOccupationalSeriesAndRacialEthnicGroup[[#This Row],[White Male Average Salary]],"")</f>
        <v>1.0412235182718124</v>
      </c>
      <c r="T7" s="10">
        <f>IFERROR(FemalePayGapsByOccupationalSeriesAndRacialEthnicGroup[[#This Row],[Hispanic Latino Female Employees]]/U$318,"")</f>
        <v>1.4741132888108392E-3</v>
      </c>
      <c r="U7" s="8">
        <v>115</v>
      </c>
      <c r="V7" s="6">
        <v>94231.252173913002</v>
      </c>
      <c r="W7" s="52">
        <f>IFERROR(FemalePayGapsByOccupationalSeriesAndRacialEthnicGroup[[#This Row],[Hispanic Latino Female Avg Salary]]/FemalePayGapsByOccupationalSeriesAndRacialEthnicGroup[[#This Row],[White Male Average Salary]],"")</f>
        <v>0.95554395410812898</v>
      </c>
      <c r="X7" s="10">
        <f>IFERROR(FemalePayGapsByOccupationalSeriesAndRacialEthnicGroup[[#This Row],[Other Female Employees]]/Y$318,"")</f>
        <v>1.8088293482561755E-3</v>
      </c>
      <c r="Y7" s="8">
        <v>32</v>
      </c>
      <c r="Z7" s="6">
        <v>94364.625</v>
      </c>
      <c r="AA7" s="1">
        <f>IFERROR(FemalePayGapsByOccupationalSeriesAndRacialEthnicGroup[[#This Row],[Other Female Avg Salary]]/FemalePayGapsByOccupationalSeriesAndRacialEthnicGroup[[#This Row],[White Male Average Salary]],"")</f>
        <v>0.95689640984515489</v>
      </c>
    </row>
    <row r="8" spans="1:27" ht="15.6" x14ac:dyDescent="0.3">
      <c r="A8" s="45" t="s">
        <v>19</v>
      </c>
      <c r="B8" s="38">
        <v>406</v>
      </c>
      <c r="C8" s="39">
        <v>108350.389162562</v>
      </c>
      <c r="D8" s="69">
        <f>IFERROR(FemalePayGapsByOccupationalSeriesAndRacialEthnicGroup[[#This Row],[White Female Employees]]/E$318,"")</f>
        <v>6.7251116105656542E-4</v>
      </c>
      <c r="E8" s="67">
        <v>307</v>
      </c>
      <c r="F8" s="64">
        <v>108764.84690553699</v>
      </c>
      <c r="G8" s="72">
        <f>IFERROR(FemalePayGapsByOccupationalSeriesAndRacialEthnicGroup[[#This Row],[White Female Avg Salary]]/FemalePayGapsByOccupationalSeriesAndRacialEthnicGroup[[#This Row],[White Male Average Salary]],"")</f>
        <v>1.0038251615539024</v>
      </c>
      <c r="H8" s="10" t="str">
        <f>IFERROR(FemalePayGapsByOccupationalSeriesAndRacialEthnicGroup[[#This Row],[AIAN Female Employees]]/I$318,"")</f>
        <v/>
      </c>
      <c r="I8" t="s">
        <v>0</v>
      </c>
      <c r="J8" s="6" t="s">
        <v>0</v>
      </c>
      <c r="K8" s="52" t="str">
        <f>IFERROR(FemalePayGapsByOccupationalSeriesAndRacialEthnicGroup[[#This Row],[AIAN Female Avg Salary]]/FemalePayGapsByOccupationalSeriesAndRacialEthnicGroup[[#This Row],[White Male Average Salary]],"")</f>
        <v/>
      </c>
      <c r="L8" s="10" t="str">
        <f>IFERROR(FemalePayGapsByOccupationalSeriesAndRacialEthnicGroup[[#This Row],[ANHPI Female Employees]]/M$318,"")</f>
        <v/>
      </c>
      <c r="M8" s="8" t="s">
        <v>0</v>
      </c>
      <c r="N8" s="6" t="s">
        <v>0</v>
      </c>
      <c r="O8" s="52" t="str">
        <f>IFERROR(FemalePayGapsByOccupationalSeriesAndRacialEthnicGroup[[#This Row],[ANHPI Female Avg Salary]]/FemalePayGapsByOccupationalSeriesAndRacialEthnicGroup[[#This Row],[White Male Average Salary]],"")</f>
        <v/>
      </c>
      <c r="P8" s="10">
        <f>IFERROR(FemalePayGapsByOccupationalSeriesAndRacialEthnicGroup[[#This Row],[Black Female Employees]]/Q$318,"")</f>
        <v>2.3287313166836965E-4</v>
      </c>
      <c r="Q8" s="8">
        <v>49</v>
      </c>
      <c r="R8" s="6">
        <v>102770.93877551</v>
      </c>
      <c r="S8" s="52">
        <f>IFERROR(FemalePayGapsByOccupationalSeriesAndRacialEthnicGroup[[#This Row],[Black Female Avg Salary]]/FemalePayGapsByOccupationalSeriesAndRacialEthnicGroup[[#This Row],[White Male Average Salary]],"")</f>
        <v>0.94850548825735226</v>
      </c>
      <c r="T8" s="10" t="str">
        <f>IFERROR(FemalePayGapsByOccupationalSeriesAndRacialEthnicGroup[[#This Row],[Hispanic Latino Female Employees]]/U$318,"")</f>
        <v/>
      </c>
      <c r="U8" s="8" t="s">
        <v>0</v>
      </c>
      <c r="V8" s="6" t="s">
        <v>0</v>
      </c>
      <c r="W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8" s="10" t="str">
        <f>IFERROR(FemalePayGapsByOccupationalSeriesAndRacialEthnicGroup[[#This Row],[Other Female Employees]]/Y$318,"")</f>
        <v/>
      </c>
      <c r="Y8" s="8" t="s">
        <v>0</v>
      </c>
      <c r="Z8" s="6" t="s">
        <v>0</v>
      </c>
      <c r="AA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9" spans="1:27" ht="15.6" x14ac:dyDescent="0.3">
      <c r="A9" s="46" t="s">
        <v>20</v>
      </c>
      <c r="B9" s="40">
        <v>179</v>
      </c>
      <c r="C9" s="41">
        <v>82798.804469273993</v>
      </c>
      <c r="D9" s="70">
        <f>IFERROR(FemalePayGapsByOccupationalSeriesAndRacialEthnicGroup[[#This Row],[White Female Employees]]/E$318,"")</f>
        <v>3.3077910527537908E-4</v>
      </c>
      <c r="E9" s="16">
        <v>151</v>
      </c>
      <c r="F9" s="17">
        <v>86545.172185429998</v>
      </c>
      <c r="G9" s="18">
        <f>IFERROR(FemalePayGapsByOccupationalSeriesAndRacialEthnicGroup[[#This Row],[White Female Avg Salary]]/FemalePayGapsByOccupationalSeriesAndRacialEthnicGroup[[#This Row],[White Male Average Salary]],"")</f>
        <v>1.0452466402162395</v>
      </c>
      <c r="H9" s="10" t="str">
        <f>IFERROR(FemalePayGapsByOccupationalSeriesAndRacialEthnicGroup[[#This Row],[AIAN Female Employees]]/I$318,"")</f>
        <v/>
      </c>
      <c r="I9" t="s">
        <v>0</v>
      </c>
      <c r="J9" s="6" t="s">
        <v>0</v>
      </c>
      <c r="K9" s="52" t="str">
        <f>IFERROR(FemalePayGapsByOccupationalSeriesAndRacialEthnicGroup[[#This Row],[AIAN Female Avg Salary]]/FemalePayGapsByOccupationalSeriesAndRacialEthnicGroup[[#This Row],[White Male Average Salary]],"")</f>
        <v/>
      </c>
      <c r="L9" s="10" t="str">
        <f>IFERROR(FemalePayGapsByOccupationalSeriesAndRacialEthnicGroup[[#This Row],[ANHPI Female Employees]]/M$318,"")</f>
        <v/>
      </c>
      <c r="M9" s="8" t="s">
        <v>0</v>
      </c>
      <c r="N9" s="6" t="s">
        <v>0</v>
      </c>
      <c r="O9" s="52" t="str">
        <f>IFERROR(FemalePayGapsByOccupationalSeriesAndRacialEthnicGroup[[#This Row],[ANHPI Female Avg Salary]]/FemalePayGapsByOccupationalSeriesAndRacialEthnicGroup[[#This Row],[White Male Average Salary]],"")</f>
        <v/>
      </c>
      <c r="P9" s="10" t="str">
        <f>IFERROR(FemalePayGapsByOccupationalSeriesAndRacialEthnicGroup[[#This Row],[Black Female Employees]]/Q$318,"")</f>
        <v/>
      </c>
      <c r="Q9" s="8" t="s">
        <v>0</v>
      </c>
      <c r="R9" s="6" t="s">
        <v>0</v>
      </c>
      <c r="S9" s="52" t="str">
        <f>IFERROR(FemalePayGapsByOccupationalSeriesAndRacialEthnicGroup[[#This Row],[Black Female Avg Salary]]/FemalePayGapsByOccupationalSeriesAndRacialEthnicGroup[[#This Row],[White Male Average Salary]],"")</f>
        <v/>
      </c>
      <c r="T9" s="10" t="str">
        <f>IFERROR(FemalePayGapsByOccupationalSeriesAndRacialEthnicGroup[[#This Row],[Hispanic Latino Female Employees]]/U$318,"")</f>
        <v/>
      </c>
      <c r="U9" s="8" t="s">
        <v>0</v>
      </c>
      <c r="V9" s="6" t="s">
        <v>0</v>
      </c>
      <c r="W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9" s="10" t="str">
        <f>IFERROR(FemalePayGapsByOccupationalSeriesAndRacialEthnicGroup[[#This Row],[Other Female Employees]]/Y$318,"")</f>
        <v/>
      </c>
      <c r="Y9" s="8" t="s">
        <v>0</v>
      </c>
      <c r="Z9" s="6" t="s">
        <v>0</v>
      </c>
      <c r="AA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0" spans="1:27" ht="15.6" x14ac:dyDescent="0.3">
      <c r="A10" s="45" t="s">
        <v>21</v>
      </c>
      <c r="B10" s="38">
        <v>1622</v>
      </c>
      <c r="C10" s="39">
        <v>81222.231812576996</v>
      </c>
      <c r="D10" s="69">
        <f>IFERROR(FemalePayGapsByOccupationalSeriesAndRacialEthnicGroup[[#This Row],[White Female Employees]]/E$318,"")</f>
        <v>1.8006650631547127E-3</v>
      </c>
      <c r="E10" s="67">
        <v>822</v>
      </c>
      <c r="F10" s="64">
        <v>84269.751824817999</v>
      </c>
      <c r="G10" s="72">
        <f>IFERROR(FemalePayGapsByOccupationalSeriesAndRacialEthnicGroup[[#This Row],[White Female Avg Salary]]/FemalePayGapsByOccupationalSeriesAndRacialEthnicGroup[[#This Row],[White Male Average Salary]],"")</f>
        <v>1.0375207617942985</v>
      </c>
      <c r="H10" s="10" t="str">
        <f>IFERROR(FemalePayGapsByOccupationalSeriesAndRacialEthnicGroup[[#This Row],[AIAN Female Employees]]/I$318,"")</f>
        <v/>
      </c>
      <c r="I10" t="s">
        <v>0</v>
      </c>
      <c r="J10" s="6" t="s">
        <v>0</v>
      </c>
      <c r="K10" s="52" t="str">
        <f>IFERROR(FemalePayGapsByOccupationalSeriesAndRacialEthnicGroup[[#This Row],[AIAN Female Avg Salary]]/FemalePayGapsByOccupationalSeriesAndRacialEthnicGroup[[#This Row],[White Male Average Salary]],"")</f>
        <v/>
      </c>
      <c r="L10" s="10" t="str">
        <f>IFERROR(FemalePayGapsByOccupationalSeriesAndRacialEthnicGroup[[#This Row],[ANHPI Female Employees]]/M$318,"")</f>
        <v/>
      </c>
      <c r="M10" s="8" t="s">
        <v>0</v>
      </c>
      <c r="N10" s="6" t="s">
        <v>0</v>
      </c>
      <c r="O10" s="52" t="str">
        <f>IFERROR(FemalePayGapsByOccupationalSeriesAndRacialEthnicGroup[[#This Row],[ANHPI Female Avg Salary]]/FemalePayGapsByOccupationalSeriesAndRacialEthnicGroup[[#This Row],[White Male Average Salary]],"")</f>
        <v/>
      </c>
      <c r="P10" s="10">
        <f>IFERROR(FemalePayGapsByOccupationalSeriesAndRacialEthnicGroup[[#This Row],[Black Female Employees]]/Q$318,"")</f>
        <v>2.5663569612432573E-4</v>
      </c>
      <c r="Q10" s="8">
        <v>54</v>
      </c>
      <c r="R10" s="6">
        <v>90327.703703703999</v>
      </c>
      <c r="S10" s="52">
        <f>IFERROR(FemalePayGapsByOccupationalSeriesAndRacialEthnicGroup[[#This Row],[Black Female Avg Salary]]/FemalePayGapsByOccupationalSeriesAndRacialEthnicGroup[[#This Row],[White Male Average Salary]],"")</f>
        <v>1.1121056598412389</v>
      </c>
      <c r="T10" s="10">
        <f>IFERROR(FemalePayGapsByOccupationalSeriesAndRacialEthnicGroup[[#This Row],[Hispanic Latino Female Employees]]/U$318,"")</f>
        <v>9.4855985540871388E-4</v>
      </c>
      <c r="U10" s="8">
        <v>74</v>
      </c>
      <c r="V10" s="6">
        <v>82144.837837838</v>
      </c>
      <c r="W10" s="52">
        <f>IFERROR(FemalePayGapsByOccupationalSeriesAndRacialEthnicGroup[[#This Row],[Hispanic Latino Female Avg Salary]]/FemalePayGapsByOccupationalSeriesAndRacialEthnicGroup[[#This Row],[White Male Average Salary]],"")</f>
        <v>1.0113590331695139</v>
      </c>
      <c r="X10" s="10" t="str">
        <f>IFERROR(FemalePayGapsByOccupationalSeriesAndRacialEthnicGroup[[#This Row],[Other Female Employees]]/Y$318,"")</f>
        <v/>
      </c>
      <c r="Y10" s="8" t="s">
        <v>0</v>
      </c>
      <c r="Z10" s="6" t="s">
        <v>0</v>
      </c>
      <c r="AA1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1" spans="1:27" ht="15.6" x14ac:dyDescent="0.3">
      <c r="A11" s="46" t="s">
        <v>22</v>
      </c>
      <c r="B11" s="40">
        <v>1719</v>
      </c>
      <c r="C11" s="41">
        <v>109505.60558464201</v>
      </c>
      <c r="D11" s="70">
        <f>IFERROR(FemalePayGapsByOccupationalSeriesAndRacialEthnicGroup[[#This Row],[White Female Employees]]/E$318,"")</f>
        <v>2.7645247076657511E-3</v>
      </c>
      <c r="E11" s="16">
        <v>1262</v>
      </c>
      <c r="F11" s="17">
        <v>116640.76605868401</v>
      </c>
      <c r="G11" s="18">
        <f>IFERROR(FemalePayGapsByOccupationalSeriesAndRacialEthnicGroup[[#This Row],[White Female Avg Salary]]/FemalePayGapsByOccupationalSeriesAndRacialEthnicGroup[[#This Row],[White Male Average Salary]],"")</f>
        <v>1.065157947266242</v>
      </c>
      <c r="H11" s="10" t="str">
        <f>IFERROR(FemalePayGapsByOccupationalSeriesAndRacialEthnicGroup[[#This Row],[AIAN Female Employees]]/I$318,"")</f>
        <v/>
      </c>
      <c r="I11" t="s">
        <v>0</v>
      </c>
      <c r="J11" s="6" t="s">
        <v>0</v>
      </c>
      <c r="K11" s="52" t="str">
        <f>IFERROR(FemalePayGapsByOccupationalSeriesAndRacialEthnicGroup[[#This Row],[AIAN Female Avg Salary]]/FemalePayGapsByOccupationalSeriesAndRacialEthnicGroup[[#This Row],[White Male Average Salary]],"")</f>
        <v/>
      </c>
      <c r="L11" s="10">
        <f>IFERROR(FemalePayGapsByOccupationalSeriesAndRacialEthnicGroup[[#This Row],[ANHPI Female Employees]]/M$318,"")</f>
        <v>1.5743122126100849E-3</v>
      </c>
      <c r="M11" s="8">
        <v>101</v>
      </c>
      <c r="N11" s="6">
        <v>116603.485148515</v>
      </c>
      <c r="O11" s="52">
        <f>IFERROR(FemalePayGapsByOccupationalSeriesAndRacialEthnicGroup[[#This Row],[ANHPI Female Avg Salary]]/FemalePayGapsByOccupationalSeriesAndRacialEthnicGroup[[#This Row],[White Male Average Salary]],"")</f>
        <v>1.0648174997615689</v>
      </c>
      <c r="P11" s="10">
        <f>IFERROR(FemalePayGapsByOccupationalSeriesAndRacialEthnicGroup[[#This Row],[Black Female Employees]]/Q$318,"")</f>
        <v>1.3211985837511585E-3</v>
      </c>
      <c r="Q11" s="8">
        <v>278</v>
      </c>
      <c r="R11" s="6">
        <v>115395.70863309399</v>
      </c>
      <c r="S11" s="52">
        <f>IFERROR(FemalePayGapsByOccupationalSeriesAndRacialEthnicGroup[[#This Row],[Black Female Avg Salary]]/FemalePayGapsByOccupationalSeriesAndRacialEthnicGroup[[#This Row],[White Male Average Salary]],"")</f>
        <v>1.0537881418673061</v>
      </c>
      <c r="T11" s="10">
        <f>IFERROR(FemalePayGapsByOccupationalSeriesAndRacialEthnicGroup[[#This Row],[Hispanic Latino Female Employees]]/U$318,"")</f>
        <v>1.8714829579685437E-3</v>
      </c>
      <c r="U11" s="8">
        <v>146</v>
      </c>
      <c r="V11" s="6">
        <v>116360.876712329</v>
      </c>
      <c r="W11" s="52">
        <f>IFERROR(FemalePayGapsByOccupationalSeriesAndRacialEthnicGroup[[#This Row],[Hispanic Latino Female Avg Salary]]/FemalePayGapsByOccupationalSeriesAndRacialEthnicGroup[[#This Row],[White Male Average Salary]],"")</f>
        <v>1.0626020110211458</v>
      </c>
      <c r="X11" s="10">
        <f>IFERROR(FemalePayGapsByOccupationalSeriesAndRacialEthnicGroup[[#This Row],[Other Female Employees]]/Y$318,"")</f>
        <v>2.6567181052512575E-3</v>
      </c>
      <c r="Y11" s="8">
        <v>47</v>
      </c>
      <c r="Z11" s="6">
        <v>100580.553191489</v>
      </c>
      <c r="AA11" s="1">
        <f>IFERROR(FemalePayGapsByOccupationalSeriesAndRacialEthnicGroup[[#This Row],[Other Female Avg Salary]]/FemalePayGapsByOccupationalSeriesAndRacialEthnicGroup[[#This Row],[White Male Average Salary]],"")</f>
        <v>0.91849684456331859</v>
      </c>
    </row>
    <row r="12" spans="1:27" ht="15.6" x14ac:dyDescent="0.3">
      <c r="A12" s="45" t="s">
        <v>23</v>
      </c>
      <c r="B12" s="38">
        <v>146</v>
      </c>
      <c r="C12" s="39">
        <v>69786.075862069003</v>
      </c>
      <c r="D12" s="69">
        <f>IFERROR(FemalePayGapsByOccupationalSeriesAndRacialEthnicGroup[[#This Row],[White Female Employees]]/E$318,"")</f>
        <v>5.2574162427874822E-5</v>
      </c>
      <c r="E12" s="67">
        <v>24</v>
      </c>
      <c r="F12" s="64">
        <v>73416.541666667006</v>
      </c>
      <c r="G12" s="72">
        <f>IFERROR(FemalePayGapsByOccupationalSeriesAndRacialEthnicGroup[[#This Row],[White Female Avg Salary]]/FemalePayGapsByOccupationalSeriesAndRacialEthnicGroup[[#This Row],[White Male Average Salary]],"")</f>
        <v>1.0520227819052839</v>
      </c>
      <c r="H12" s="10" t="str">
        <f>IFERROR(FemalePayGapsByOccupationalSeriesAndRacialEthnicGroup[[#This Row],[AIAN Female Employees]]/I$318,"")</f>
        <v/>
      </c>
      <c r="I12" t="s">
        <v>0</v>
      </c>
      <c r="J12" s="6" t="s">
        <v>0</v>
      </c>
      <c r="K12" s="52" t="str">
        <f>IFERROR(FemalePayGapsByOccupationalSeriesAndRacialEthnicGroup[[#This Row],[AIAN Female Avg Salary]]/FemalePayGapsByOccupationalSeriesAndRacialEthnicGroup[[#This Row],[White Male Average Salary]],"")</f>
        <v/>
      </c>
      <c r="L12" s="10" t="str">
        <f>IFERROR(FemalePayGapsByOccupationalSeriesAndRacialEthnicGroup[[#This Row],[ANHPI Female Employees]]/M$318,"")</f>
        <v/>
      </c>
      <c r="M12" s="8" t="s">
        <v>0</v>
      </c>
      <c r="N12" s="6" t="s">
        <v>0</v>
      </c>
      <c r="O12" s="52" t="str">
        <f>IFERROR(FemalePayGapsByOccupationalSeriesAndRacialEthnicGroup[[#This Row],[ANHPI Female Avg Salary]]/FemalePayGapsByOccupationalSeriesAndRacialEthnicGroup[[#This Row],[White Male Average Salary]],"")</f>
        <v/>
      </c>
      <c r="P12" s="10">
        <f>IFERROR(FemalePayGapsByOccupationalSeriesAndRacialEthnicGroup[[#This Row],[Black Female Employees]]/Q$318,"")</f>
        <v>6.6535180476677046E-5</v>
      </c>
      <c r="Q12" s="8">
        <v>14</v>
      </c>
      <c r="R12" s="6">
        <v>70028.857142856999</v>
      </c>
      <c r="S12" s="52">
        <f>IFERROR(FemalePayGapsByOccupationalSeriesAndRacialEthnicGroup[[#This Row],[Black Female Avg Salary]]/FemalePayGapsByOccupationalSeriesAndRacialEthnicGroup[[#This Row],[White Male Average Salary]],"")</f>
        <v>1.0034789358448504</v>
      </c>
      <c r="T12" s="10" t="str">
        <f>IFERROR(FemalePayGapsByOccupationalSeriesAndRacialEthnicGroup[[#This Row],[Hispanic Latino Female Employees]]/U$318,"")</f>
        <v/>
      </c>
      <c r="U12" s="8" t="s">
        <v>0</v>
      </c>
      <c r="V12" s="6" t="s">
        <v>0</v>
      </c>
      <c r="W1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2" s="10" t="str">
        <f>IFERROR(FemalePayGapsByOccupationalSeriesAndRacialEthnicGroup[[#This Row],[Other Female Employees]]/Y$318,"")</f>
        <v/>
      </c>
      <c r="Y12" s="8" t="s">
        <v>0</v>
      </c>
      <c r="Z12" s="6" t="s">
        <v>0</v>
      </c>
      <c r="AA1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3" spans="1:27" ht="15.6" x14ac:dyDescent="0.3">
      <c r="A13" s="46" t="s">
        <v>24</v>
      </c>
      <c r="B13" s="40">
        <v>469</v>
      </c>
      <c r="C13" s="41">
        <v>96782.925053533007</v>
      </c>
      <c r="D13" s="70">
        <f>IFERROR(FemalePayGapsByOccupationalSeriesAndRacialEthnicGroup[[#This Row],[White Female Employees]]/E$318,"")</f>
        <v>1.8181897839640042E-4</v>
      </c>
      <c r="E13" s="16">
        <v>83</v>
      </c>
      <c r="F13" s="17">
        <v>94855.573170731994</v>
      </c>
      <c r="G13" s="18">
        <f>IFERROR(FemalePayGapsByOccupationalSeriesAndRacialEthnicGroup[[#This Row],[White Female Avg Salary]]/FemalePayGapsByOccupationalSeriesAndRacialEthnicGroup[[#This Row],[White Male Average Salary]],"")</f>
        <v>0.9800858273116364</v>
      </c>
      <c r="H13" s="10" t="str">
        <f>IFERROR(FemalePayGapsByOccupationalSeriesAndRacialEthnicGroup[[#This Row],[AIAN Female Employees]]/I$318,"")</f>
        <v/>
      </c>
      <c r="I13" t="s">
        <v>0</v>
      </c>
      <c r="J13" s="6" t="s">
        <v>0</v>
      </c>
      <c r="K13" s="52" t="str">
        <f>IFERROR(FemalePayGapsByOccupationalSeriesAndRacialEthnicGroup[[#This Row],[AIAN Female Avg Salary]]/FemalePayGapsByOccupationalSeriesAndRacialEthnicGroup[[#This Row],[White Male Average Salary]],"")</f>
        <v/>
      </c>
      <c r="L13" s="10" t="str">
        <f>IFERROR(FemalePayGapsByOccupationalSeriesAndRacialEthnicGroup[[#This Row],[ANHPI Female Employees]]/M$318,"")</f>
        <v/>
      </c>
      <c r="M13" s="8" t="s">
        <v>0</v>
      </c>
      <c r="N13" s="6" t="s">
        <v>0</v>
      </c>
      <c r="O13" s="52" t="str">
        <f>IFERROR(FemalePayGapsByOccupationalSeriesAndRacialEthnicGroup[[#This Row],[ANHPI Female Avg Salary]]/FemalePayGapsByOccupationalSeriesAndRacialEthnicGroup[[#This Row],[White Male Average Salary]],"")</f>
        <v/>
      </c>
      <c r="P13" s="10">
        <f>IFERROR(FemalePayGapsByOccupationalSeriesAndRacialEthnicGroup[[#This Row],[Black Female Employees]]/Q$318,"")</f>
        <v>3.5168595394815009E-4</v>
      </c>
      <c r="Q13" s="8">
        <v>74</v>
      </c>
      <c r="R13" s="6">
        <v>89258.418918918993</v>
      </c>
      <c r="S13" s="52">
        <f>IFERROR(FemalePayGapsByOccupationalSeriesAndRacialEthnicGroup[[#This Row],[Black Female Avg Salary]]/FemalePayGapsByOccupationalSeriesAndRacialEthnicGroup[[#This Row],[White Male Average Salary]],"")</f>
        <v>0.9222537846376101</v>
      </c>
      <c r="T13" s="10" t="str">
        <f>IFERROR(FemalePayGapsByOccupationalSeriesAndRacialEthnicGroup[[#This Row],[Hispanic Latino Female Employees]]/U$318,"")</f>
        <v/>
      </c>
      <c r="U13" s="8" t="s">
        <v>0</v>
      </c>
      <c r="V13" s="6" t="s">
        <v>0</v>
      </c>
      <c r="W1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3" s="10" t="str">
        <f>IFERROR(FemalePayGapsByOccupationalSeriesAndRacialEthnicGroup[[#This Row],[Other Female Employees]]/Y$318,"")</f>
        <v/>
      </c>
      <c r="Y13" s="8" t="s">
        <v>0</v>
      </c>
      <c r="Z13" s="6" t="s">
        <v>0</v>
      </c>
      <c r="AA1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4" spans="1:27" ht="15.6" x14ac:dyDescent="0.3">
      <c r="A14" s="45" t="s">
        <v>25</v>
      </c>
      <c r="B14" s="38">
        <v>7332</v>
      </c>
      <c r="C14" s="39">
        <v>104672.862953863</v>
      </c>
      <c r="D14" s="69">
        <f>IFERROR(FemalePayGapsByOccupationalSeriesAndRacialEthnicGroup[[#This Row],[White Female Employees]]/E$318,"")</f>
        <v>6.790829313600498E-3</v>
      </c>
      <c r="E14" s="67">
        <v>3100</v>
      </c>
      <c r="F14" s="64">
        <v>100271.708615682</v>
      </c>
      <c r="G14" s="72">
        <f>IFERROR(FemalePayGapsByOccupationalSeriesAndRacialEthnicGroup[[#This Row],[White Female Avg Salary]]/FemalePayGapsByOccupationalSeriesAndRacialEthnicGroup[[#This Row],[White Male Average Salary]],"")</f>
        <v>0.95795324390696268</v>
      </c>
      <c r="H14" s="10">
        <f>IFERROR(FemalePayGapsByOccupationalSeriesAndRacialEthnicGroup[[#This Row],[AIAN Female Employees]]/I$318,"")</f>
        <v>4.741641337386018E-3</v>
      </c>
      <c r="I14">
        <v>78</v>
      </c>
      <c r="J14" s="6">
        <v>91253.179487179004</v>
      </c>
      <c r="K14" s="52">
        <f>IFERROR(FemalePayGapsByOccupationalSeriesAndRacialEthnicGroup[[#This Row],[AIAN Female Avg Salary]]/FemalePayGapsByOccupationalSeriesAndRacialEthnicGroup[[#This Row],[White Male Average Salary]],"")</f>
        <v>0.87179405351128081</v>
      </c>
      <c r="L14" s="10">
        <f>IFERROR(FemalePayGapsByOccupationalSeriesAndRacialEthnicGroup[[#This Row],[ANHPI Female Employees]]/M$318,"")</f>
        <v>2.54072168965786E-3</v>
      </c>
      <c r="M14" s="8">
        <v>163</v>
      </c>
      <c r="N14" s="6">
        <v>95484.460122699005</v>
      </c>
      <c r="O14" s="52">
        <f>IFERROR(FemalePayGapsByOccupationalSeriesAndRacialEthnicGroup[[#This Row],[ANHPI Female Avg Salary]]/FemalePayGapsByOccupationalSeriesAndRacialEthnicGroup[[#This Row],[White Male Average Salary]],"")</f>
        <v>0.91221790852119899</v>
      </c>
      <c r="P14" s="10">
        <f>IFERROR(FemalePayGapsByOccupationalSeriesAndRacialEthnicGroup[[#This Row],[Black Female Employees]]/Q$318,"")</f>
        <v>9.0012594159161654E-3</v>
      </c>
      <c r="Q14" s="8">
        <v>1894</v>
      </c>
      <c r="R14" s="6">
        <v>105239.099788807</v>
      </c>
      <c r="S14" s="52">
        <f>IFERROR(FemalePayGapsByOccupationalSeriesAndRacialEthnicGroup[[#This Row],[Black Female Avg Salary]]/FemalePayGapsByOccupationalSeriesAndRacialEthnicGroup[[#This Row],[White Male Average Salary]],"")</f>
        <v>1.0054095858178025</v>
      </c>
      <c r="T14" s="10">
        <f>IFERROR(FemalePayGapsByOccupationalSeriesAndRacialEthnicGroup[[#This Row],[Hispanic Latino Female Employees]]/U$318,"")</f>
        <v>5.3324445925679058E-3</v>
      </c>
      <c r="U14" s="8">
        <v>416</v>
      </c>
      <c r="V14" s="6">
        <v>97055.959134614997</v>
      </c>
      <c r="W14" s="52">
        <f>IFERROR(FemalePayGapsByOccupationalSeriesAndRacialEthnicGroup[[#This Row],[Hispanic Latino Female Avg Salary]]/FemalePayGapsByOccupationalSeriesAndRacialEthnicGroup[[#This Row],[White Male Average Salary]],"")</f>
        <v>0.9272313414929203</v>
      </c>
      <c r="X14" s="10">
        <f>IFERROR(FemalePayGapsByOccupationalSeriesAndRacialEthnicGroup[[#This Row],[Other Female Employees]]/Y$318,"")</f>
        <v>1.0683398338138037E-2</v>
      </c>
      <c r="Y14" s="8">
        <v>189</v>
      </c>
      <c r="Z14" s="6">
        <v>95171.116402115993</v>
      </c>
      <c r="AA14" s="1">
        <f>IFERROR(FemalePayGapsByOccupationalSeriesAndRacialEthnicGroup[[#This Row],[Other Female Avg Salary]]/FemalePayGapsByOccupationalSeriesAndRacialEthnicGroup[[#This Row],[White Male Average Salary]],"")</f>
        <v>0.90922435592561246</v>
      </c>
    </row>
    <row r="15" spans="1:27" ht="15.6" x14ac:dyDescent="0.3">
      <c r="A15" s="46" t="s">
        <v>26</v>
      </c>
      <c r="B15" s="40">
        <v>6800</v>
      </c>
      <c r="C15" s="41">
        <v>61763.701942890999</v>
      </c>
      <c r="D15" s="70">
        <f>IFERROR(FemalePayGapsByOccupationalSeriesAndRacialEthnicGroup[[#This Row],[White Female Employees]]/E$318,"")</f>
        <v>4.2278388952416004E-4</v>
      </c>
      <c r="E15" s="16">
        <v>193</v>
      </c>
      <c r="F15" s="17">
        <v>58198.886010363</v>
      </c>
      <c r="G15" s="18">
        <f>IFERROR(FemalePayGapsByOccupationalSeriesAndRacialEthnicGroup[[#This Row],[White Female Avg Salary]]/FemalePayGapsByOccupationalSeriesAndRacialEthnicGroup[[#This Row],[White Male Average Salary]],"")</f>
        <v>0.94228299437387741</v>
      </c>
      <c r="H15" s="10" t="str">
        <f>IFERROR(FemalePayGapsByOccupationalSeriesAndRacialEthnicGroup[[#This Row],[AIAN Female Employees]]/I$318,"")</f>
        <v/>
      </c>
      <c r="I15" t="s">
        <v>0</v>
      </c>
      <c r="J15" s="6" t="s">
        <v>0</v>
      </c>
      <c r="K15" s="52" t="str">
        <f>IFERROR(FemalePayGapsByOccupationalSeriesAndRacialEthnicGroup[[#This Row],[AIAN Female Avg Salary]]/FemalePayGapsByOccupationalSeriesAndRacialEthnicGroup[[#This Row],[White Male Average Salary]],"")</f>
        <v/>
      </c>
      <c r="L15" s="10">
        <f>IFERROR(FemalePayGapsByOccupationalSeriesAndRacialEthnicGroup[[#This Row],[ANHPI Female Employees]]/M$318,"")</f>
        <v>2.3380874444704232E-4</v>
      </c>
      <c r="M15" s="8">
        <v>15</v>
      </c>
      <c r="N15" s="6">
        <v>59359.066666667</v>
      </c>
      <c r="O15" s="52">
        <f>IFERROR(FemalePayGapsByOccupationalSeriesAndRacialEthnicGroup[[#This Row],[ANHPI Female Avg Salary]]/FemalePayGapsByOccupationalSeriesAndRacialEthnicGroup[[#This Row],[White Male Average Salary]],"")</f>
        <v>0.96106717698936805</v>
      </c>
      <c r="P15" s="10">
        <f>IFERROR(FemalePayGapsByOccupationalSeriesAndRacialEthnicGroup[[#This Row],[Black Female Employees]]/Q$318,"")</f>
        <v>5.7030154694294607E-5</v>
      </c>
      <c r="Q15" s="8">
        <v>12</v>
      </c>
      <c r="R15" s="6">
        <v>51411.666666666999</v>
      </c>
      <c r="S15" s="52">
        <f>IFERROR(FemalePayGapsByOccupationalSeriesAndRacialEthnicGroup[[#This Row],[Black Female Avg Salary]]/FemalePayGapsByOccupationalSeriesAndRacialEthnicGroup[[#This Row],[White Male Average Salary]],"")</f>
        <v>0.83239289500820601</v>
      </c>
      <c r="T15" s="10">
        <f>IFERROR(FemalePayGapsByOccupationalSeriesAndRacialEthnicGroup[[#This Row],[Hispanic Latino Female Employees]]/U$318,"")</f>
        <v>3.7173291630882032E-4</v>
      </c>
      <c r="U15" s="8">
        <v>29</v>
      </c>
      <c r="V15" s="6">
        <v>55659.137931033998</v>
      </c>
      <c r="W15" s="52">
        <f>IFERROR(FemalePayGapsByOccupationalSeriesAndRacialEthnicGroup[[#This Row],[Hispanic Latino Female Avg Salary]]/FemalePayGapsByOccupationalSeriesAndRacialEthnicGroup[[#This Row],[White Male Average Salary]],"")</f>
        <v>0.9011625951841179</v>
      </c>
      <c r="X15" s="10">
        <f>IFERROR(FemalePayGapsByOccupationalSeriesAndRacialEthnicGroup[[#This Row],[Other Female Employees]]/Y$318,"")</f>
        <v>9.6094059126109323E-4</v>
      </c>
      <c r="Y15" s="8">
        <v>17</v>
      </c>
      <c r="Z15" s="6">
        <v>51937.176470587998</v>
      </c>
      <c r="AA15" s="1">
        <f>IFERROR(FemalePayGapsByOccupationalSeriesAndRacialEthnicGroup[[#This Row],[Other Female Avg Salary]]/FemalePayGapsByOccupationalSeriesAndRacialEthnicGroup[[#This Row],[White Male Average Salary]],"")</f>
        <v>0.84090128727405344</v>
      </c>
    </row>
    <row r="16" spans="1:27" ht="15.6" x14ac:dyDescent="0.3">
      <c r="A16" s="45" t="s">
        <v>27</v>
      </c>
      <c r="B16" s="38">
        <v>230</v>
      </c>
      <c r="C16" s="39">
        <v>57831.986725663999</v>
      </c>
      <c r="D16" s="69">
        <f>IFERROR(FemalePayGapsByOccupationalSeriesAndRacialEthnicGroup[[#This Row],[White Female Employees]]/E$318,"")</f>
        <v>6.3527112933682076E-5</v>
      </c>
      <c r="E16" s="67">
        <v>29</v>
      </c>
      <c r="F16" s="64">
        <v>57070.137931033998</v>
      </c>
      <c r="G16" s="72">
        <f>IFERROR(FemalePayGapsByOccupationalSeriesAndRacialEthnicGroup[[#This Row],[White Female Avg Salary]]/FemalePayGapsByOccupationalSeriesAndRacialEthnicGroup[[#This Row],[White Male Average Salary]],"")</f>
        <v>0.98682651525973053</v>
      </c>
      <c r="H16" s="10" t="str">
        <f>IFERROR(FemalePayGapsByOccupationalSeriesAndRacialEthnicGroup[[#This Row],[AIAN Female Employees]]/I$318,"")</f>
        <v/>
      </c>
      <c r="I16" t="s">
        <v>0</v>
      </c>
      <c r="J16" s="6" t="s">
        <v>0</v>
      </c>
      <c r="K16" s="52" t="str">
        <f>IFERROR(FemalePayGapsByOccupationalSeriesAndRacialEthnicGroup[[#This Row],[AIAN Female Avg Salary]]/FemalePayGapsByOccupationalSeriesAndRacialEthnicGroup[[#This Row],[White Male Average Salary]],"")</f>
        <v/>
      </c>
      <c r="L16" s="10" t="str">
        <f>IFERROR(FemalePayGapsByOccupationalSeriesAndRacialEthnicGroup[[#This Row],[ANHPI Female Employees]]/M$318,"")</f>
        <v/>
      </c>
      <c r="M16" s="8" t="s">
        <v>0</v>
      </c>
      <c r="N16" s="6" t="s">
        <v>0</v>
      </c>
      <c r="O16" s="52" t="str">
        <f>IFERROR(FemalePayGapsByOccupationalSeriesAndRacialEthnicGroup[[#This Row],[ANHPI Female Avg Salary]]/FemalePayGapsByOccupationalSeriesAndRacialEthnicGroup[[#This Row],[White Male Average Salary]],"")</f>
        <v/>
      </c>
      <c r="P16" s="10" t="str">
        <f>IFERROR(FemalePayGapsByOccupationalSeriesAndRacialEthnicGroup[[#This Row],[Black Female Employees]]/Q$318,"")</f>
        <v/>
      </c>
      <c r="Q16" s="8" t="s">
        <v>0</v>
      </c>
      <c r="R16" s="6" t="s">
        <v>0</v>
      </c>
      <c r="S16" s="52" t="str">
        <f>IFERROR(FemalePayGapsByOccupationalSeriesAndRacialEthnicGroup[[#This Row],[Black Female Avg Salary]]/FemalePayGapsByOccupationalSeriesAndRacialEthnicGroup[[#This Row],[White Male Average Salary]],"")</f>
        <v/>
      </c>
      <c r="T16" s="10" t="str">
        <f>IFERROR(FemalePayGapsByOccupationalSeriesAndRacialEthnicGroup[[#This Row],[Hispanic Latino Female Employees]]/U$318,"")</f>
        <v/>
      </c>
      <c r="U16" s="8" t="s">
        <v>0</v>
      </c>
      <c r="V16" s="6" t="s">
        <v>0</v>
      </c>
      <c r="W1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6" s="10" t="str">
        <f>IFERROR(FemalePayGapsByOccupationalSeriesAndRacialEthnicGroup[[#This Row],[Other Female Employees]]/Y$318,"")</f>
        <v/>
      </c>
      <c r="Y16" s="8" t="s">
        <v>0</v>
      </c>
      <c r="Z16" s="6" t="s">
        <v>0</v>
      </c>
      <c r="AA1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7" spans="1:27" ht="15.6" x14ac:dyDescent="0.3">
      <c r="A17" s="46" t="s">
        <v>28</v>
      </c>
      <c r="B17" s="40">
        <v>6865</v>
      </c>
      <c r="C17" s="41">
        <v>70456.498760390998</v>
      </c>
      <c r="D17" s="70">
        <f>IFERROR(FemalePayGapsByOccupationalSeriesAndRacialEthnicGroup[[#This Row],[White Female Employees]]/E$318,"")</f>
        <v>1.165393933817892E-3</v>
      </c>
      <c r="E17" s="16">
        <v>532</v>
      </c>
      <c r="F17" s="17">
        <v>69229.564971750995</v>
      </c>
      <c r="G17" s="18">
        <f>IFERROR(FemalePayGapsByOccupationalSeriesAndRacialEthnicGroup[[#This Row],[White Female Avg Salary]]/FemalePayGapsByOccupationalSeriesAndRacialEthnicGroup[[#This Row],[White Male Average Salary]],"")</f>
        <v>0.98258593869654853</v>
      </c>
      <c r="H17" s="10">
        <f>IFERROR(FemalePayGapsByOccupationalSeriesAndRacialEthnicGroup[[#This Row],[AIAN Female Employees]]/I$318,"")</f>
        <v>2.4316109422492403E-3</v>
      </c>
      <c r="I17">
        <v>40</v>
      </c>
      <c r="J17" s="6">
        <v>55589.425000000003</v>
      </c>
      <c r="K17" s="52">
        <f>IFERROR(FemalePayGapsByOccupationalSeriesAndRacialEthnicGroup[[#This Row],[AIAN Female Avg Salary]]/FemalePayGapsByOccupationalSeriesAndRacialEthnicGroup[[#This Row],[White Male Average Salary]],"")</f>
        <v>0.78898931933942595</v>
      </c>
      <c r="L17" s="10">
        <f>IFERROR(FemalePayGapsByOccupationalSeriesAndRacialEthnicGroup[[#This Row],[ANHPI Female Employees]]/M$318,"")</f>
        <v>4.8320473852388743E-4</v>
      </c>
      <c r="M17" s="8">
        <v>31</v>
      </c>
      <c r="N17" s="6">
        <v>63209.612903226</v>
      </c>
      <c r="O17" s="52">
        <f>IFERROR(FemalePayGapsByOccupationalSeriesAndRacialEthnicGroup[[#This Row],[ANHPI Female Avg Salary]]/FemalePayGapsByOccupationalSeriesAndRacialEthnicGroup[[#This Row],[White Male Average Salary]],"")</f>
        <v>0.89714382655019143</v>
      </c>
      <c r="P17" s="10">
        <f>IFERROR(FemalePayGapsByOccupationalSeriesAndRacialEthnicGroup[[#This Row],[Black Female Employees]]/Q$318,"")</f>
        <v>1.3687237126630706E-3</v>
      </c>
      <c r="Q17" s="8">
        <v>288</v>
      </c>
      <c r="R17" s="6">
        <v>76447.972222222001</v>
      </c>
      <c r="S17" s="52">
        <f>IFERROR(FemalePayGapsByOccupationalSeriesAndRacialEthnicGroup[[#This Row],[Black Female Avg Salary]]/FemalePayGapsByOccupationalSeriesAndRacialEthnicGroup[[#This Row],[White Male Average Salary]],"")</f>
        <v>1.0850379108704629</v>
      </c>
      <c r="T17" s="10">
        <f>IFERROR(FemalePayGapsByOccupationalSeriesAndRacialEthnicGroup[[#This Row],[Hispanic Latino Female Employees]]/U$318,"")</f>
        <v>1.9483932165151963E-3</v>
      </c>
      <c r="U17" s="8">
        <v>152</v>
      </c>
      <c r="V17" s="6">
        <v>68721.5</v>
      </c>
      <c r="W17" s="52">
        <f>IFERROR(FemalePayGapsByOccupationalSeriesAndRacialEthnicGroup[[#This Row],[Hispanic Latino Female Avg Salary]]/FemalePayGapsByOccupationalSeriesAndRacialEthnicGroup[[#This Row],[White Male Average Salary]],"")</f>
        <v>0.97537489385767817</v>
      </c>
      <c r="X17" s="10">
        <f>IFERROR(FemalePayGapsByOccupationalSeriesAndRacialEthnicGroup[[#This Row],[Other Female Employees]]/Y$318,"")</f>
        <v>1.639251596857159E-3</v>
      </c>
      <c r="Y17" s="8">
        <v>29</v>
      </c>
      <c r="Z17" s="6">
        <v>67945.793103447999</v>
      </c>
      <c r="AA17" s="1">
        <f>IFERROR(FemalePayGapsByOccupationalSeriesAndRacialEthnicGroup[[#This Row],[Other Female Avg Salary]]/FemalePayGapsByOccupationalSeriesAndRacialEthnicGroup[[#This Row],[White Male Average Salary]],"")</f>
        <v>0.96436516572472009</v>
      </c>
    </row>
    <row r="18" spans="1:27" ht="15.6" x14ac:dyDescent="0.3">
      <c r="A18" s="45" t="s">
        <v>29</v>
      </c>
      <c r="B18" s="38">
        <v>2018</v>
      </c>
      <c r="C18" s="39">
        <v>48646.940535182999</v>
      </c>
      <c r="D18" s="69">
        <f>IFERROR(FemalePayGapsByOccupationalSeriesAndRacialEthnicGroup[[#This Row],[White Female Employees]]/E$318,"")</f>
        <v>3.1982615476957183E-4</v>
      </c>
      <c r="E18" s="67">
        <v>146</v>
      </c>
      <c r="F18" s="64">
        <v>47165.938356163999</v>
      </c>
      <c r="G18" s="72">
        <f>IFERROR(FemalePayGapsByOccupationalSeriesAndRacialEthnicGroup[[#This Row],[White Female Avg Salary]]/FemalePayGapsByOccupationalSeriesAndRacialEthnicGroup[[#This Row],[White Male Average Salary]],"")</f>
        <v>0.96955610850906659</v>
      </c>
      <c r="H18" s="10">
        <f>IFERROR(FemalePayGapsByOccupationalSeriesAndRacialEthnicGroup[[#This Row],[AIAN Female Employees]]/I$318,"")</f>
        <v>3.7689969604863221E-3</v>
      </c>
      <c r="I18">
        <v>62</v>
      </c>
      <c r="J18" s="6">
        <v>41493.435483870999</v>
      </c>
      <c r="K18" s="52">
        <f>IFERROR(FemalePayGapsByOccupationalSeriesAndRacialEthnicGroup[[#This Row],[AIAN Female Avg Salary]]/FemalePayGapsByOccupationalSeriesAndRacialEthnicGroup[[#This Row],[White Male Average Salary]],"")</f>
        <v>0.85295056641561329</v>
      </c>
      <c r="L18" s="10">
        <f>IFERROR(FemalePayGapsByOccupationalSeriesAndRacialEthnicGroup[[#This Row],[ANHPI Female Employees]]/M$318,"")</f>
        <v>1.5587249629802822E-4</v>
      </c>
      <c r="M18" s="8">
        <v>10</v>
      </c>
      <c r="N18" s="6">
        <v>48581.2</v>
      </c>
      <c r="O18" s="52">
        <f>IFERROR(FemalePayGapsByOccupationalSeriesAndRacialEthnicGroup[[#This Row],[ANHPI Female Avg Salary]]/FemalePayGapsByOccupationalSeriesAndRacialEthnicGroup[[#This Row],[White Male Average Salary]],"")</f>
        <v>0.99864861932816806</v>
      </c>
      <c r="P18" s="10">
        <f>IFERROR(FemalePayGapsByOccupationalSeriesAndRacialEthnicGroup[[#This Row],[Black Female Employees]]/Q$318,"")</f>
        <v>1.2974360192952023E-3</v>
      </c>
      <c r="Q18" s="8">
        <v>273</v>
      </c>
      <c r="R18" s="6">
        <v>52737.197802198003</v>
      </c>
      <c r="S18" s="52">
        <f>IFERROR(FemalePayGapsByOccupationalSeriesAndRacialEthnicGroup[[#This Row],[Black Female Avg Salary]]/FemalePayGapsByOccupationalSeriesAndRacialEthnicGroup[[#This Row],[White Male Average Salary]],"")</f>
        <v>1.0840804626563678</v>
      </c>
      <c r="T18" s="10">
        <f>IFERROR(FemalePayGapsByOccupationalSeriesAndRacialEthnicGroup[[#This Row],[Hispanic Latino Female Employees]]/U$318,"")</f>
        <v>4.486431748554728E-4</v>
      </c>
      <c r="U18" s="8">
        <v>35</v>
      </c>
      <c r="V18" s="6">
        <v>51064.028571429</v>
      </c>
      <c r="W18" s="52">
        <f>IFERROR(FemalePayGapsByOccupationalSeriesAndRacialEthnicGroup[[#This Row],[Hispanic Latino Female Avg Salary]]/FemalePayGapsByOccupationalSeriesAndRacialEthnicGroup[[#This Row],[White Male Average Salary]],"")</f>
        <v>1.0496863319595173</v>
      </c>
      <c r="X18" s="10">
        <f>IFERROR(FemalePayGapsByOccupationalSeriesAndRacialEthnicGroup[[#This Row],[Other Female Employees]]/Y$318,"")</f>
        <v>6.7831100559606584E-4</v>
      </c>
      <c r="Y18" s="8">
        <v>12</v>
      </c>
      <c r="Z18" s="6">
        <v>50970</v>
      </c>
      <c r="AA18" s="1">
        <f>IFERROR(FemalePayGapsByOccupationalSeriesAndRacialEthnicGroup[[#This Row],[Other Female Avg Salary]]/FemalePayGapsByOccupationalSeriesAndRacialEthnicGroup[[#This Row],[White Male Average Salary]],"")</f>
        <v>1.0477534545700133</v>
      </c>
    </row>
    <row r="19" spans="1:27" ht="15.6" x14ac:dyDescent="0.3">
      <c r="A19" s="46" t="s">
        <v>30</v>
      </c>
      <c r="B19" s="40">
        <v>1244</v>
      </c>
      <c r="C19" s="41">
        <v>50688.718649517999</v>
      </c>
      <c r="D19" s="70">
        <f>IFERROR(FemalePayGapsByOccupationalSeriesAndRacialEthnicGroup[[#This Row],[White Female Employees]]/E$318,"")</f>
        <v>1.695516738298963E-3</v>
      </c>
      <c r="E19" s="16">
        <v>774</v>
      </c>
      <c r="F19" s="17">
        <v>50219.467616579997</v>
      </c>
      <c r="G19" s="18">
        <f>IFERROR(FemalePayGapsByOccupationalSeriesAndRacialEthnicGroup[[#This Row],[White Female Avg Salary]]/FemalePayGapsByOccupationalSeriesAndRacialEthnicGroup[[#This Row],[White Male Average Salary]],"")</f>
        <v>0.99074249565899286</v>
      </c>
      <c r="H19" s="10" t="str">
        <f>IFERROR(FemalePayGapsByOccupationalSeriesAndRacialEthnicGroup[[#This Row],[AIAN Female Employees]]/I$318,"")</f>
        <v/>
      </c>
      <c r="I19" t="s">
        <v>0</v>
      </c>
      <c r="J19" s="6" t="s">
        <v>0</v>
      </c>
      <c r="K19" s="52" t="str">
        <f>IFERROR(FemalePayGapsByOccupationalSeriesAndRacialEthnicGroup[[#This Row],[AIAN Female Avg Salary]]/FemalePayGapsByOccupationalSeriesAndRacialEthnicGroup[[#This Row],[White Male Average Salary]],"")</f>
        <v/>
      </c>
      <c r="L19" s="10">
        <f>IFERROR(FemalePayGapsByOccupationalSeriesAndRacialEthnicGroup[[#This Row],[ANHPI Female Employees]]/M$318,"")</f>
        <v>1.5587249629802822E-3</v>
      </c>
      <c r="M19" s="8">
        <v>100</v>
      </c>
      <c r="N19" s="6">
        <v>52510.11</v>
      </c>
      <c r="O19" s="52">
        <f>IFERROR(FemalePayGapsByOccupationalSeriesAndRacialEthnicGroup[[#This Row],[ANHPI Female Avg Salary]]/FemalePayGapsByOccupationalSeriesAndRacialEthnicGroup[[#This Row],[White Male Average Salary]],"")</f>
        <v>1.0359328741978235</v>
      </c>
      <c r="P19" s="10">
        <f>IFERROR(FemalePayGapsByOccupationalSeriesAndRacialEthnicGroup[[#This Row],[Black Female Employees]]/Q$318,"")</f>
        <v>2.3002162393365492E-3</v>
      </c>
      <c r="Q19" s="8">
        <v>484</v>
      </c>
      <c r="R19" s="6">
        <v>51240.210743802003</v>
      </c>
      <c r="S19" s="52">
        <f>IFERROR(FemalePayGapsByOccupationalSeriesAndRacialEthnicGroup[[#This Row],[Black Female Avg Salary]]/FemalePayGapsByOccupationalSeriesAndRacialEthnicGroup[[#This Row],[White Male Average Salary]],"")</f>
        <v>1.0108799770240247</v>
      </c>
      <c r="T19" s="10">
        <f>IFERROR(FemalePayGapsByOccupationalSeriesAndRacialEthnicGroup[[#This Row],[Hispanic Latino Female Employees]]/U$318,"")</f>
        <v>2.4483098970684374E-3</v>
      </c>
      <c r="U19" s="8">
        <v>191</v>
      </c>
      <c r="V19" s="6">
        <v>52415.486910995001</v>
      </c>
      <c r="W19" s="52">
        <f>IFERROR(FemalePayGapsByOccupationalSeriesAndRacialEthnicGroup[[#This Row],[Hispanic Latino Female Avg Salary]]/FemalePayGapsByOccupationalSeriesAndRacialEthnicGroup[[#This Row],[White Male Average Salary]],"")</f>
        <v>1.0340661257077055</v>
      </c>
      <c r="X19" s="10">
        <f>IFERROR(FemalePayGapsByOccupationalSeriesAndRacialEthnicGroup[[#This Row],[Other Female Employees]]/Y$318,"")</f>
        <v>2.4871403538522414E-3</v>
      </c>
      <c r="Y19" s="8">
        <v>44</v>
      </c>
      <c r="Z19" s="6">
        <v>48834.977272727003</v>
      </c>
      <c r="AA19" s="1">
        <f>IFERROR(FemalePayGapsByOccupationalSeriesAndRacialEthnicGroup[[#This Row],[Other Female Avg Salary]]/FemalePayGapsByOccupationalSeriesAndRacialEthnicGroup[[#This Row],[White Male Average Salary]],"")</f>
        <v>0.96342891621292492</v>
      </c>
    </row>
    <row r="20" spans="1:27" ht="15.6" x14ac:dyDescent="0.3">
      <c r="A20" s="45" t="s">
        <v>31</v>
      </c>
      <c r="B20" s="38">
        <v>1753</v>
      </c>
      <c r="C20" s="39">
        <v>115930.748858447</v>
      </c>
      <c r="D20" s="69">
        <f>IFERROR(FemalePayGapsByOccupationalSeriesAndRacialEthnicGroup[[#This Row],[White Female Employees]]/E$318,"")</f>
        <v>1.2946387497864175E-3</v>
      </c>
      <c r="E20" s="67">
        <v>591</v>
      </c>
      <c r="F20" s="64">
        <v>116603.478849408</v>
      </c>
      <c r="G20" s="72">
        <f>IFERROR(FemalePayGapsByOccupationalSeriesAndRacialEthnicGroup[[#This Row],[White Female Avg Salary]]/FemalePayGapsByOccupationalSeriesAndRacialEthnicGroup[[#This Row],[White Male Average Salary]],"")</f>
        <v>1.0058028607387193</v>
      </c>
      <c r="H20" s="10" t="str">
        <f>IFERROR(FemalePayGapsByOccupationalSeriesAndRacialEthnicGroup[[#This Row],[AIAN Female Employees]]/I$318,"")</f>
        <v/>
      </c>
      <c r="I20" t="s">
        <v>0</v>
      </c>
      <c r="J20" s="6" t="s">
        <v>0</v>
      </c>
      <c r="K20" s="52" t="str">
        <f>IFERROR(FemalePayGapsByOccupationalSeriesAndRacialEthnicGroup[[#This Row],[AIAN Female Avg Salary]]/FemalePayGapsByOccupationalSeriesAndRacialEthnicGroup[[#This Row],[White Male Average Salary]],"")</f>
        <v/>
      </c>
      <c r="L20" s="10">
        <f>IFERROR(FemalePayGapsByOccupationalSeriesAndRacialEthnicGroup[[#This Row],[ANHPI Female Employees]]/M$318,"")</f>
        <v>6.2348998519211286E-4</v>
      </c>
      <c r="M20" s="8">
        <v>40</v>
      </c>
      <c r="N20" s="6">
        <v>112541.77499999999</v>
      </c>
      <c r="O20" s="52">
        <f>IFERROR(FemalePayGapsByOccupationalSeriesAndRacialEthnicGroup[[#This Row],[ANHPI Female Avg Salary]]/FemalePayGapsByOccupationalSeriesAndRacialEthnicGroup[[#This Row],[White Male Average Salary]],"")</f>
        <v>0.97076725638523231</v>
      </c>
      <c r="P20" s="10">
        <f>IFERROR(FemalePayGapsByOccupationalSeriesAndRacialEthnicGroup[[#This Row],[Black Female Employees]]/Q$318,"")</f>
        <v>6.9386688211391773E-4</v>
      </c>
      <c r="Q20" s="8">
        <v>146</v>
      </c>
      <c r="R20" s="6">
        <v>114848.691780822</v>
      </c>
      <c r="S20" s="52">
        <f>IFERROR(FemalePayGapsByOccupationalSeriesAndRacialEthnicGroup[[#This Row],[Black Female Avg Salary]]/FemalePayGapsByOccupationalSeriesAndRacialEthnicGroup[[#This Row],[White Male Average Salary]],"")</f>
        <v>0.99066634962441069</v>
      </c>
      <c r="T20" s="10">
        <f>IFERROR(FemalePayGapsByOccupationalSeriesAndRacialEthnicGroup[[#This Row],[Hispanic Latino Female Employees]]/U$318,"")</f>
        <v>6.1528206837321983E-4</v>
      </c>
      <c r="U20" s="8">
        <v>48</v>
      </c>
      <c r="V20" s="6">
        <v>110337.70833333299</v>
      </c>
      <c r="W20" s="52">
        <f>IFERROR(FemalePayGapsByOccupationalSeriesAndRacialEthnicGroup[[#This Row],[Hispanic Latino Female Avg Salary]]/FemalePayGapsByOccupationalSeriesAndRacialEthnicGroup[[#This Row],[White Male Average Salary]],"")</f>
        <v>0.9517553316942412</v>
      </c>
      <c r="X20" s="10" t="str">
        <f>IFERROR(FemalePayGapsByOccupationalSeriesAndRacialEthnicGroup[[#This Row],[Other Female Employees]]/Y$318,"")</f>
        <v/>
      </c>
      <c r="Y20" s="8" t="s">
        <v>0</v>
      </c>
      <c r="Z20" s="6" t="s">
        <v>0</v>
      </c>
      <c r="AA2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1" spans="1:27" ht="15.6" x14ac:dyDescent="0.3">
      <c r="A21" s="46" t="s">
        <v>32</v>
      </c>
      <c r="B21" s="40">
        <v>154</v>
      </c>
      <c r="C21" s="41">
        <v>42654.032467532001</v>
      </c>
      <c r="D21" s="70">
        <f>IFERROR(FemalePayGapsByOccupationalSeriesAndRacialEthnicGroup[[#This Row],[White Female Employees]]/E$318,"")</f>
        <v>1.8620015859872332E-4</v>
      </c>
      <c r="E21" s="16">
        <v>85</v>
      </c>
      <c r="F21" s="17">
        <v>41199.682352941003</v>
      </c>
      <c r="G21" s="18">
        <f>IFERROR(FemalePayGapsByOccupationalSeriesAndRacialEthnicGroup[[#This Row],[White Female Avg Salary]]/FemalePayGapsByOccupationalSeriesAndRacialEthnicGroup[[#This Row],[White Male Average Salary]],"")</f>
        <v>0.96590357275837779</v>
      </c>
      <c r="H21" s="10" t="str">
        <f>IFERROR(FemalePayGapsByOccupationalSeriesAndRacialEthnicGroup[[#This Row],[AIAN Female Employees]]/I$318,"")</f>
        <v/>
      </c>
      <c r="I21" t="s">
        <v>0</v>
      </c>
      <c r="J21" s="6" t="s">
        <v>0</v>
      </c>
      <c r="K21" s="52" t="str">
        <f>IFERROR(FemalePayGapsByOccupationalSeriesAndRacialEthnicGroup[[#This Row],[AIAN Female Avg Salary]]/FemalePayGapsByOccupationalSeriesAndRacialEthnicGroup[[#This Row],[White Male Average Salary]],"")</f>
        <v/>
      </c>
      <c r="L21" s="10" t="str">
        <f>IFERROR(FemalePayGapsByOccupationalSeriesAndRacialEthnicGroup[[#This Row],[ANHPI Female Employees]]/M$318,"")</f>
        <v/>
      </c>
      <c r="M21" s="8" t="s">
        <v>0</v>
      </c>
      <c r="N21" s="6" t="s">
        <v>0</v>
      </c>
      <c r="O21" s="52" t="str">
        <f>IFERROR(FemalePayGapsByOccupationalSeriesAndRacialEthnicGroup[[#This Row],[ANHPI Female Avg Salary]]/FemalePayGapsByOccupationalSeriesAndRacialEthnicGroup[[#This Row],[White Male Average Salary]],"")</f>
        <v/>
      </c>
      <c r="P21" s="10" t="str">
        <f>IFERROR(FemalePayGapsByOccupationalSeriesAndRacialEthnicGroup[[#This Row],[Black Female Employees]]/Q$318,"")</f>
        <v/>
      </c>
      <c r="Q21" s="8" t="s">
        <v>0</v>
      </c>
      <c r="R21" s="6" t="s">
        <v>0</v>
      </c>
      <c r="S21" s="52" t="str">
        <f>IFERROR(FemalePayGapsByOccupationalSeriesAndRacialEthnicGroup[[#This Row],[Black Female Avg Salary]]/FemalePayGapsByOccupationalSeriesAndRacialEthnicGroup[[#This Row],[White Male Average Salary]],"")</f>
        <v/>
      </c>
      <c r="T21" s="10" t="str">
        <f>IFERROR(FemalePayGapsByOccupationalSeriesAndRacialEthnicGroup[[#This Row],[Hispanic Latino Female Employees]]/U$318,"")</f>
        <v/>
      </c>
      <c r="U21" s="8" t="s">
        <v>0</v>
      </c>
      <c r="V21" s="6" t="s">
        <v>0</v>
      </c>
      <c r="W2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1" s="10" t="str">
        <f>IFERROR(FemalePayGapsByOccupationalSeriesAndRacialEthnicGroup[[#This Row],[Other Female Employees]]/Y$318,"")</f>
        <v/>
      </c>
      <c r="Y21" s="8" t="s">
        <v>0</v>
      </c>
      <c r="Z21" s="6" t="s">
        <v>0</v>
      </c>
      <c r="AA2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2" spans="1:27" ht="15.6" x14ac:dyDescent="0.3">
      <c r="A22" s="45" t="s">
        <v>33</v>
      </c>
      <c r="B22" s="38">
        <v>2570</v>
      </c>
      <c r="C22" s="39">
        <v>92063.502921698004</v>
      </c>
      <c r="D22" s="69">
        <f>IFERROR(FemalePayGapsByOccupationalSeriesAndRacialEthnicGroup[[#This Row],[White Female Employees]]/E$318,"")</f>
        <v>9.4261092052977235E-3</v>
      </c>
      <c r="E22" s="67">
        <v>4303</v>
      </c>
      <c r="F22" s="64">
        <v>95125.819069767007</v>
      </c>
      <c r="G22" s="72">
        <f>IFERROR(FemalePayGapsByOccupationalSeriesAndRacialEthnicGroup[[#This Row],[White Female Avg Salary]]/FemalePayGapsByOccupationalSeriesAndRacialEthnicGroup[[#This Row],[White Male Average Salary]],"")</f>
        <v>1.0332630852714084</v>
      </c>
      <c r="H22" s="10">
        <f>IFERROR(FemalePayGapsByOccupationalSeriesAndRacialEthnicGroup[[#This Row],[AIAN Female Employees]]/I$318,"")</f>
        <v>8.1458966565349546E-3</v>
      </c>
      <c r="I22">
        <v>134</v>
      </c>
      <c r="J22" s="6">
        <v>89952.074626866</v>
      </c>
      <c r="K22" s="52">
        <f>IFERROR(FemalePayGapsByOccupationalSeriesAndRacialEthnicGroup[[#This Row],[AIAN Female Avg Salary]]/FemalePayGapsByOccupationalSeriesAndRacialEthnicGroup[[#This Row],[White Male Average Salary]],"")</f>
        <v>0.97706552295074178</v>
      </c>
      <c r="L22" s="10">
        <f>IFERROR(FemalePayGapsByOccupationalSeriesAndRacialEthnicGroup[[#This Row],[ANHPI Female Employees]]/M$318,"")</f>
        <v>4.5358896422726209E-3</v>
      </c>
      <c r="M22" s="8">
        <v>291</v>
      </c>
      <c r="N22" s="6">
        <v>105508.116838488</v>
      </c>
      <c r="O22" s="52">
        <f>IFERROR(FemalePayGapsByOccupationalSeriesAndRacialEthnicGroup[[#This Row],[ANHPI Female Avg Salary]]/FemalePayGapsByOccupationalSeriesAndRacialEthnicGroup[[#This Row],[White Male Average Salary]],"")</f>
        <v>1.1460363063550267</v>
      </c>
      <c r="P22" s="10">
        <f>IFERROR(FemalePayGapsByOccupationalSeriesAndRacialEthnicGroup[[#This Row],[Black Female Employees]]/Q$318,"")</f>
        <v>1.3387828814485659E-2</v>
      </c>
      <c r="Q22" s="8">
        <v>2817</v>
      </c>
      <c r="R22" s="6">
        <v>89596.138898756995</v>
      </c>
      <c r="S22" s="52">
        <f>IFERROR(FemalePayGapsByOccupationalSeriesAndRacialEthnicGroup[[#This Row],[Black Female Avg Salary]]/FemalePayGapsByOccupationalSeriesAndRacialEthnicGroup[[#This Row],[White Male Average Salary]],"")</f>
        <v>0.97319932498071948</v>
      </c>
      <c r="T22" s="10">
        <f>IFERROR(FemalePayGapsByOccupationalSeriesAndRacialEthnicGroup[[#This Row],[Hispanic Latino Female Employees]]/U$318,"")</f>
        <v>7.8704831246074365E-3</v>
      </c>
      <c r="U22" s="8">
        <v>614</v>
      </c>
      <c r="V22" s="6">
        <v>89077.612377850004</v>
      </c>
      <c r="W22" s="52">
        <f>IFERROR(FemalePayGapsByOccupationalSeriesAndRacialEthnicGroup[[#This Row],[Hispanic Latino Female Avg Salary]]/FemalePayGapsByOccupationalSeriesAndRacialEthnicGroup[[#This Row],[White Male Average Salary]],"")</f>
        <v>0.96756705481446248</v>
      </c>
      <c r="X22" s="10">
        <f>IFERROR(FemalePayGapsByOccupationalSeriesAndRacialEthnicGroup[[#This Row],[Other Female Employees]]/Y$318,"")</f>
        <v>9.157198575546888E-3</v>
      </c>
      <c r="Y22" s="8">
        <v>162</v>
      </c>
      <c r="Z22" s="6">
        <v>88021.771604937996</v>
      </c>
      <c r="AA22" s="1">
        <f>IFERROR(FemalePayGapsByOccupationalSeriesAndRacialEthnicGroup[[#This Row],[Other Female Avg Salary]]/FemalePayGapsByOccupationalSeriesAndRacialEthnicGroup[[#This Row],[White Male Average Salary]],"")</f>
        <v>0.95609844087512519</v>
      </c>
    </row>
    <row r="23" spans="1:27" ht="15.6" x14ac:dyDescent="0.3">
      <c r="A23" s="46" t="s">
        <v>34</v>
      </c>
      <c r="B23" s="40">
        <v>446</v>
      </c>
      <c r="C23" s="41">
        <v>59209.930180180003</v>
      </c>
      <c r="D23" s="70">
        <f>IFERROR(FemalePayGapsByOccupationalSeriesAndRacialEthnicGroup[[#This Row],[White Female Employees]]/E$318,"")</f>
        <v>2.9792025375795732E-4</v>
      </c>
      <c r="E23" s="16">
        <v>136</v>
      </c>
      <c r="F23" s="17">
        <v>56877.125</v>
      </c>
      <c r="G23" s="18">
        <f>IFERROR(FemalePayGapsByOccupationalSeriesAndRacialEthnicGroup[[#This Row],[White Female Avg Salary]]/FemalePayGapsByOccupationalSeriesAndRacialEthnicGroup[[#This Row],[White Male Average Salary]],"")</f>
        <v>0.96060111584186791</v>
      </c>
      <c r="H23" s="10" t="str">
        <f>IFERROR(FemalePayGapsByOccupationalSeriesAndRacialEthnicGroup[[#This Row],[AIAN Female Employees]]/I$318,"")</f>
        <v/>
      </c>
      <c r="I23" t="s">
        <v>0</v>
      </c>
      <c r="J23" s="6" t="s">
        <v>0</v>
      </c>
      <c r="K23" s="52" t="str">
        <f>IFERROR(FemalePayGapsByOccupationalSeriesAndRacialEthnicGroup[[#This Row],[AIAN Female Avg Salary]]/FemalePayGapsByOccupationalSeriesAndRacialEthnicGroup[[#This Row],[White Male Average Salary]],"")</f>
        <v/>
      </c>
      <c r="L23" s="10" t="str">
        <f>IFERROR(FemalePayGapsByOccupationalSeriesAndRacialEthnicGroup[[#This Row],[ANHPI Female Employees]]/M$318,"")</f>
        <v/>
      </c>
      <c r="M23" s="8" t="s">
        <v>0</v>
      </c>
      <c r="N23" s="6" t="s">
        <v>0</v>
      </c>
      <c r="O23" s="52" t="str">
        <f>IFERROR(FemalePayGapsByOccupationalSeriesAndRacialEthnicGroup[[#This Row],[ANHPI Female Avg Salary]]/FemalePayGapsByOccupationalSeriesAndRacialEthnicGroup[[#This Row],[White Male Average Salary]],"")</f>
        <v/>
      </c>
      <c r="P23" s="10">
        <f>IFERROR(FemalePayGapsByOccupationalSeriesAndRacialEthnicGroup[[#This Row],[Black Female Employees]]/Q$318,"")</f>
        <v>6.701043176579616E-4</v>
      </c>
      <c r="Q23" s="8">
        <v>141</v>
      </c>
      <c r="R23" s="6">
        <v>60907.607142856999</v>
      </c>
      <c r="S23" s="52">
        <f>IFERROR(FemalePayGapsByOccupationalSeriesAndRacialEthnicGroup[[#This Row],[Black Female Avg Salary]]/FemalePayGapsByOccupationalSeriesAndRacialEthnicGroup[[#This Row],[White Male Average Salary]],"")</f>
        <v>1.0286721662651999</v>
      </c>
      <c r="T23" s="10" t="str">
        <f>IFERROR(FemalePayGapsByOccupationalSeriesAndRacialEthnicGroup[[#This Row],[Hispanic Latino Female Employees]]/U$318,"")</f>
        <v/>
      </c>
      <c r="U23" s="8" t="s">
        <v>0</v>
      </c>
      <c r="V23" s="6" t="s">
        <v>0</v>
      </c>
      <c r="W2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3" s="10" t="str">
        <f>IFERROR(FemalePayGapsByOccupationalSeriesAndRacialEthnicGroup[[#This Row],[Other Female Employees]]/Y$318,"")</f>
        <v/>
      </c>
      <c r="Y23" s="8" t="s">
        <v>0</v>
      </c>
      <c r="Z23" s="6" t="s">
        <v>0</v>
      </c>
      <c r="AA2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4" spans="1:27" ht="15.6" x14ac:dyDescent="0.3">
      <c r="A24" s="45" t="s">
        <v>35</v>
      </c>
      <c r="B24" s="38">
        <v>4375</v>
      </c>
      <c r="C24" s="39">
        <v>89653.086628571007</v>
      </c>
      <c r="D24" s="69">
        <f>IFERROR(FemalePayGapsByOccupationalSeriesAndRacialEthnicGroup[[#This Row],[White Female Employees]]/E$318,"")</f>
        <v>1.4911346818605996E-2</v>
      </c>
      <c r="E24" s="67">
        <v>6807</v>
      </c>
      <c r="F24" s="64">
        <v>90271.253305906997</v>
      </c>
      <c r="G24" s="72">
        <f>IFERROR(FemalePayGapsByOccupationalSeriesAndRacialEthnicGroup[[#This Row],[White Female Avg Salary]]/FemalePayGapsByOccupationalSeriesAndRacialEthnicGroup[[#This Row],[White Male Average Salary]],"")</f>
        <v>1.0068950964276002</v>
      </c>
      <c r="H24" s="10">
        <f>IFERROR(FemalePayGapsByOccupationalSeriesAndRacialEthnicGroup[[#This Row],[AIAN Female Employees]]/I$318,"")</f>
        <v>1.458966565349544E-2</v>
      </c>
      <c r="I24">
        <v>240</v>
      </c>
      <c r="J24" s="6">
        <v>87728.941666667</v>
      </c>
      <c r="K24" s="52">
        <f>IFERROR(FemalePayGapsByOccupationalSeriesAndRacialEthnicGroup[[#This Row],[AIAN Female Avg Salary]]/FemalePayGapsByOccupationalSeriesAndRacialEthnicGroup[[#This Row],[White Male Average Salary]],"")</f>
        <v>0.97853788381123274</v>
      </c>
      <c r="L24" s="10">
        <f>IFERROR(FemalePayGapsByOccupationalSeriesAndRacialEthnicGroup[[#This Row],[ANHPI Female Employees]]/M$318,"")</f>
        <v>2.0201075520224456E-2</v>
      </c>
      <c r="M24" s="8">
        <v>1296</v>
      </c>
      <c r="N24" s="6">
        <v>93510.698302468998</v>
      </c>
      <c r="O24" s="52">
        <f>IFERROR(FemalePayGapsByOccupationalSeriesAndRacialEthnicGroup[[#This Row],[ANHPI Female Avg Salary]]/FemalePayGapsByOccupationalSeriesAndRacialEthnicGroup[[#This Row],[White Male Average Salary]],"")</f>
        <v>1.0430282081628701</v>
      </c>
      <c r="P24" s="10">
        <f>IFERROR(FemalePayGapsByOccupationalSeriesAndRacialEthnicGroup[[#This Row],[Black Female Employees]]/Q$318,"")</f>
        <v>2.3125727728536462E-2</v>
      </c>
      <c r="Q24" s="8">
        <v>4866</v>
      </c>
      <c r="R24" s="6">
        <v>90707.810933005007</v>
      </c>
      <c r="S24" s="52">
        <f>IFERROR(FemalePayGapsByOccupationalSeriesAndRacialEthnicGroup[[#This Row],[Black Female Avg Salary]]/FemalePayGapsByOccupationalSeriesAndRacialEthnicGroup[[#This Row],[White Male Average Salary]],"")</f>
        <v>1.0117645063220597</v>
      </c>
      <c r="T24" s="10">
        <f>IFERROR(FemalePayGapsByOccupationalSeriesAndRacialEthnicGroup[[#This Row],[Hispanic Latino Female Employees]]/U$318,"")</f>
        <v>4.9043108199915399E-2</v>
      </c>
      <c r="U24" s="8">
        <v>3826</v>
      </c>
      <c r="V24" s="6">
        <v>92226.087558807994</v>
      </c>
      <c r="W24" s="52">
        <f>IFERROR(FemalePayGapsByOccupationalSeriesAndRacialEthnicGroup[[#This Row],[Hispanic Latino Female Avg Salary]]/FemalePayGapsByOccupationalSeriesAndRacialEthnicGroup[[#This Row],[White Male Average Salary]],"")</f>
        <v>1.028699524210436</v>
      </c>
      <c r="X24" s="10">
        <f>IFERROR(FemalePayGapsByOccupationalSeriesAndRacialEthnicGroup[[#This Row],[Other Female Employees]]/Y$318,"")</f>
        <v>1.2774857272059239E-2</v>
      </c>
      <c r="Y24" s="8">
        <v>226</v>
      </c>
      <c r="Z24" s="6">
        <v>87017.172566371999</v>
      </c>
      <c r="AA24" s="1">
        <f>IFERROR(FemalePayGapsByOccupationalSeriesAndRacialEthnicGroup[[#This Row],[Other Female Avg Salary]]/FemalePayGapsByOccupationalSeriesAndRacialEthnicGroup[[#This Row],[White Male Average Salary]],"")</f>
        <v>0.97059873606895997</v>
      </c>
    </row>
    <row r="25" spans="1:27" ht="15.6" x14ac:dyDescent="0.3">
      <c r="A25" s="46" t="s">
        <v>36</v>
      </c>
      <c r="B25" s="40">
        <v>500</v>
      </c>
      <c r="C25" s="41">
        <v>133001.04</v>
      </c>
      <c r="D25" s="70">
        <f>IFERROR(FemalePayGapsByOccupationalSeriesAndRacialEthnicGroup[[#This Row],[White Female Employees]]/E$318,"")</f>
        <v>2.2628795744997787E-3</v>
      </c>
      <c r="E25" s="16">
        <v>1033</v>
      </c>
      <c r="F25" s="17">
        <v>133311.507260407</v>
      </c>
      <c r="G25" s="18">
        <f>IFERROR(FemalePayGapsByOccupationalSeriesAndRacialEthnicGroup[[#This Row],[White Female Avg Salary]]/FemalePayGapsByOccupationalSeriesAndRacialEthnicGroup[[#This Row],[White Male Average Salary]],"")</f>
        <v>1.0023343220504666</v>
      </c>
      <c r="H25" s="10" t="str">
        <f>IFERROR(FemalePayGapsByOccupationalSeriesAndRacialEthnicGroup[[#This Row],[AIAN Female Employees]]/I$318,"")</f>
        <v/>
      </c>
      <c r="I25" t="s">
        <v>0</v>
      </c>
      <c r="J25" s="6" t="s">
        <v>0</v>
      </c>
      <c r="K25" s="52" t="str">
        <f>IFERROR(FemalePayGapsByOccupationalSeriesAndRacialEthnicGroup[[#This Row],[AIAN Female Avg Salary]]/FemalePayGapsByOccupationalSeriesAndRacialEthnicGroup[[#This Row],[White Male Average Salary]],"")</f>
        <v/>
      </c>
      <c r="L25" s="10">
        <f>IFERROR(FemalePayGapsByOccupationalSeriesAndRacialEthnicGroup[[#This Row],[ANHPI Female Employees]]/M$318,"")</f>
        <v>2.4627854415088459E-3</v>
      </c>
      <c r="M25" s="8">
        <v>158</v>
      </c>
      <c r="N25" s="6">
        <v>128450.03164556999</v>
      </c>
      <c r="O25" s="52">
        <f>IFERROR(FemalePayGapsByOccupationalSeriesAndRacialEthnicGroup[[#This Row],[ANHPI Female Avg Salary]]/FemalePayGapsByOccupationalSeriesAndRacialEthnicGroup[[#This Row],[White Male Average Salary]],"")</f>
        <v>0.96578215964002978</v>
      </c>
      <c r="P25" s="10">
        <f>IFERROR(FemalePayGapsByOccupationalSeriesAndRacialEthnicGroup[[#This Row],[Black Female Employees]]/Q$318,"")</f>
        <v>3.1461635339685859E-3</v>
      </c>
      <c r="Q25" s="8">
        <v>662</v>
      </c>
      <c r="R25" s="6">
        <v>123159.05438066499</v>
      </c>
      <c r="S25" s="52">
        <f>IFERROR(FemalePayGapsByOccupationalSeriesAndRacialEthnicGroup[[#This Row],[Black Female Avg Salary]]/FemalePayGapsByOccupationalSeriesAndRacialEthnicGroup[[#This Row],[White Male Average Salary]],"")</f>
        <v>0.92600068676654701</v>
      </c>
      <c r="T25" s="10" t="str">
        <f>IFERROR(FemalePayGapsByOccupationalSeriesAndRacialEthnicGroup[[#This Row],[Hispanic Latino Female Employees]]/U$318,"")</f>
        <v/>
      </c>
      <c r="U25" s="8" t="s">
        <v>0</v>
      </c>
      <c r="V25" s="6" t="s">
        <v>0</v>
      </c>
      <c r="W2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5" s="10" t="str">
        <f>IFERROR(FemalePayGapsByOccupationalSeriesAndRacialEthnicGroup[[#This Row],[Other Female Employees]]/Y$318,"")</f>
        <v/>
      </c>
      <c r="Y25" s="8" t="s">
        <v>0</v>
      </c>
      <c r="Z25" s="6" t="s">
        <v>0</v>
      </c>
      <c r="AA2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6" spans="1:27" ht="15.6" x14ac:dyDescent="0.3">
      <c r="A26" s="45" t="s">
        <v>37</v>
      </c>
      <c r="B26" s="38">
        <v>2173</v>
      </c>
      <c r="C26" s="39">
        <v>136240.57899585401</v>
      </c>
      <c r="D26" s="69">
        <f>IFERROR(FemalePayGapsByOccupationalSeriesAndRacialEthnicGroup[[#This Row],[White Female Employees]]/E$318,"")</f>
        <v>2.3176443270288148E-3</v>
      </c>
      <c r="E26" s="67">
        <v>1058</v>
      </c>
      <c r="F26" s="64">
        <v>132870.748582231</v>
      </c>
      <c r="G26" s="72">
        <f>IFERROR(FemalePayGapsByOccupationalSeriesAndRacialEthnicGroup[[#This Row],[White Female Avg Salary]]/FemalePayGapsByOccupationalSeriesAndRacialEthnicGroup[[#This Row],[White Male Average Salary]],"")</f>
        <v>0.97526558945609321</v>
      </c>
      <c r="H26" s="10" t="str">
        <f>IFERROR(FemalePayGapsByOccupationalSeriesAndRacialEthnicGroup[[#This Row],[AIAN Female Employees]]/I$318,"")</f>
        <v/>
      </c>
      <c r="I26" t="s">
        <v>0</v>
      </c>
      <c r="J26" s="6" t="s">
        <v>0</v>
      </c>
      <c r="K26" s="52" t="str">
        <f>IFERROR(FemalePayGapsByOccupationalSeriesAndRacialEthnicGroup[[#This Row],[AIAN Female Avg Salary]]/FemalePayGapsByOccupationalSeriesAndRacialEthnicGroup[[#This Row],[White Male Average Salary]],"")</f>
        <v/>
      </c>
      <c r="L26" s="10">
        <f>IFERROR(FemalePayGapsByOccupationalSeriesAndRacialEthnicGroup[[#This Row],[ANHPI Female Employees]]/M$318,"")</f>
        <v>3.8656379081910995E-3</v>
      </c>
      <c r="M26" s="8">
        <v>248</v>
      </c>
      <c r="N26" s="6">
        <v>142839.36437247001</v>
      </c>
      <c r="O26" s="52">
        <f>IFERROR(FemalePayGapsByOccupationalSeriesAndRacialEthnicGroup[[#This Row],[ANHPI Female Avg Salary]]/FemalePayGapsByOccupationalSeriesAndRacialEthnicGroup[[#This Row],[White Male Average Salary]],"")</f>
        <v>1.0484348013290286</v>
      </c>
      <c r="P26" s="10">
        <f>IFERROR(FemalePayGapsByOccupationalSeriesAndRacialEthnicGroup[[#This Row],[Black Female Employees]]/Q$318,"")</f>
        <v>7.2713447235225621E-4</v>
      </c>
      <c r="Q26" s="8">
        <v>153</v>
      </c>
      <c r="R26" s="6">
        <v>116251.810457516</v>
      </c>
      <c r="S26" s="52">
        <f>IFERROR(FemalePayGapsByOccupationalSeriesAndRacialEthnicGroup[[#This Row],[Black Female Avg Salary]]/FemalePayGapsByOccupationalSeriesAndRacialEthnicGroup[[#This Row],[White Male Average Salary]],"")</f>
        <v>0.85328329719630525</v>
      </c>
      <c r="T26" s="10">
        <f>IFERROR(FemalePayGapsByOccupationalSeriesAndRacialEthnicGroup[[#This Row],[Hispanic Latino Female Employees]]/U$318,"")</f>
        <v>1.2562008895953239E-3</v>
      </c>
      <c r="U26" s="8">
        <v>98</v>
      </c>
      <c r="V26" s="6">
        <v>117130.234693878</v>
      </c>
      <c r="W26" s="52">
        <f>IFERROR(FemalePayGapsByOccupationalSeriesAndRacialEthnicGroup[[#This Row],[Hispanic Latino Female Avg Salary]]/FemalePayGapsByOccupationalSeriesAndRacialEthnicGroup[[#This Row],[White Male Average Salary]],"")</f>
        <v>0.85973089337386355</v>
      </c>
      <c r="X26" s="10" t="str">
        <f>IFERROR(FemalePayGapsByOccupationalSeriesAndRacialEthnicGroup[[#This Row],[Other Female Employees]]/Y$318,"")</f>
        <v/>
      </c>
      <c r="Y26" s="8" t="s">
        <v>0</v>
      </c>
      <c r="Z26" s="6" t="s">
        <v>0</v>
      </c>
      <c r="AA2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7" spans="1:27" ht="15.6" x14ac:dyDescent="0.3">
      <c r="A27" s="46" t="s">
        <v>38</v>
      </c>
      <c r="B27" s="40">
        <v>1065</v>
      </c>
      <c r="C27" s="41">
        <v>138936.04793233101</v>
      </c>
      <c r="D27" s="70">
        <f>IFERROR(FemalePayGapsByOccupationalSeriesAndRacialEthnicGroup[[#This Row],[White Female Employees]]/E$318,"")</f>
        <v>2.2037336417684195E-3</v>
      </c>
      <c r="E27" s="16">
        <v>1006</v>
      </c>
      <c r="F27" s="17">
        <v>135634.25572139301</v>
      </c>
      <c r="G27" s="18">
        <f>IFERROR(FemalePayGapsByOccupationalSeriesAndRacialEthnicGroup[[#This Row],[White Female Avg Salary]]/FemalePayGapsByOccupationalSeriesAndRacialEthnicGroup[[#This Row],[White Male Average Salary]],"")</f>
        <v>0.97623516531471988</v>
      </c>
      <c r="H27" s="10" t="str">
        <f>IFERROR(FemalePayGapsByOccupationalSeriesAndRacialEthnicGroup[[#This Row],[AIAN Female Employees]]/I$318,"")</f>
        <v/>
      </c>
      <c r="I27" t="s">
        <v>0</v>
      </c>
      <c r="J27" s="6" t="s">
        <v>0</v>
      </c>
      <c r="K27" s="52" t="str">
        <f>IFERROR(FemalePayGapsByOccupationalSeriesAndRacialEthnicGroup[[#This Row],[AIAN Female Avg Salary]]/FemalePayGapsByOccupationalSeriesAndRacialEthnicGroup[[#This Row],[White Male Average Salary]],"")</f>
        <v/>
      </c>
      <c r="L27" s="10">
        <f>IFERROR(FemalePayGapsByOccupationalSeriesAndRacialEthnicGroup[[#This Row],[ANHPI Female Employees]]/M$318,"")</f>
        <v>1.8081209570571272E-3</v>
      </c>
      <c r="M27" s="8">
        <v>116</v>
      </c>
      <c r="N27" s="6">
        <v>128674.99137931</v>
      </c>
      <c r="O27" s="52">
        <f>IFERROR(FemalePayGapsByOccupationalSeriesAndRacialEthnicGroup[[#This Row],[ANHPI Female Avg Salary]]/FemalePayGapsByOccupationalSeriesAndRacialEthnicGroup[[#This Row],[White Male Average Salary]],"")</f>
        <v>0.92614546976304757</v>
      </c>
      <c r="P27" s="10">
        <f>IFERROR(FemalePayGapsByOccupationalSeriesAndRacialEthnicGroup[[#This Row],[Black Female Employees]]/Q$318,"")</f>
        <v>4.6574626333673931E-4</v>
      </c>
      <c r="Q27" s="8">
        <v>98</v>
      </c>
      <c r="R27" s="6">
        <v>133373.030612245</v>
      </c>
      <c r="S27" s="52">
        <f>IFERROR(FemalePayGapsByOccupationalSeriesAndRacialEthnicGroup[[#This Row],[Black Female Avg Salary]]/FemalePayGapsByOccupationalSeriesAndRacialEthnicGroup[[#This Row],[White Male Average Salary]],"")</f>
        <v>0.95995987072559108</v>
      </c>
      <c r="T27" s="10">
        <f>IFERROR(FemalePayGapsByOccupationalSeriesAndRacialEthnicGroup[[#This Row],[Hispanic Latino Female Employees]]/U$318,"")</f>
        <v>9.4855985540871388E-4</v>
      </c>
      <c r="U27" s="8">
        <v>74</v>
      </c>
      <c r="V27" s="6">
        <v>127593.932432432</v>
      </c>
      <c r="W27" s="52">
        <f>IFERROR(FemalePayGapsByOccupationalSeriesAndRacialEthnicGroup[[#This Row],[Hispanic Latino Female Avg Salary]]/FemalePayGapsByOccupationalSeriesAndRacialEthnicGroup[[#This Row],[White Male Average Salary]],"")</f>
        <v>0.91836448734008036</v>
      </c>
      <c r="X27" s="10" t="str">
        <f>IFERROR(FemalePayGapsByOccupationalSeriesAndRacialEthnicGroup[[#This Row],[Other Female Employees]]/Y$318,"")</f>
        <v/>
      </c>
      <c r="Y27" s="8" t="s">
        <v>0</v>
      </c>
      <c r="Z27" s="6" t="s">
        <v>0</v>
      </c>
      <c r="AA2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8" spans="1:27" ht="15.6" x14ac:dyDescent="0.3">
      <c r="A28" s="45" t="s">
        <v>39</v>
      </c>
      <c r="B28" s="38">
        <v>139</v>
      </c>
      <c r="C28" s="39">
        <v>129127.137681159</v>
      </c>
      <c r="D28" s="69">
        <f>IFERROR(FemalePayGapsByOccupationalSeriesAndRacialEthnicGroup[[#This Row],[White Female Employees]]/E$318,"")</f>
        <v>2.6725199234169702E-4</v>
      </c>
      <c r="E28" s="67">
        <v>122</v>
      </c>
      <c r="F28" s="64">
        <v>133644.68852458999</v>
      </c>
      <c r="G28" s="72">
        <f>IFERROR(FemalePayGapsByOccupationalSeriesAndRacialEthnicGroup[[#This Row],[White Female Avg Salary]]/FemalePayGapsByOccupationalSeriesAndRacialEthnicGroup[[#This Row],[White Male Average Salary]],"")</f>
        <v>1.0349852937543287</v>
      </c>
      <c r="H28" s="10" t="str">
        <f>IFERROR(FemalePayGapsByOccupationalSeriesAndRacialEthnicGroup[[#This Row],[AIAN Female Employees]]/I$318,"")</f>
        <v/>
      </c>
      <c r="I28" t="s">
        <v>0</v>
      </c>
      <c r="J28" s="6" t="s">
        <v>0</v>
      </c>
      <c r="K28" s="52" t="str">
        <f>IFERROR(FemalePayGapsByOccupationalSeriesAndRacialEthnicGroup[[#This Row],[AIAN Female Avg Salary]]/FemalePayGapsByOccupationalSeriesAndRacialEthnicGroup[[#This Row],[White Male Average Salary]],"")</f>
        <v/>
      </c>
      <c r="L28" s="10" t="str">
        <f>IFERROR(FemalePayGapsByOccupationalSeriesAndRacialEthnicGroup[[#This Row],[ANHPI Female Employees]]/M$318,"")</f>
        <v/>
      </c>
      <c r="M28" s="8" t="s">
        <v>0</v>
      </c>
      <c r="N28" s="6" t="s">
        <v>0</v>
      </c>
      <c r="O28" s="52" t="str">
        <f>IFERROR(FemalePayGapsByOccupationalSeriesAndRacialEthnicGroup[[#This Row],[ANHPI Female Avg Salary]]/FemalePayGapsByOccupationalSeriesAndRacialEthnicGroup[[#This Row],[White Male Average Salary]],"")</f>
        <v/>
      </c>
      <c r="P28" s="10" t="str">
        <f>IFERROR(FemalePayGapsByOccupationalSeriesAndRacialEthnicGroup[[#This Row],[Black Female Employees]]/Q$318,"")</f>
        <v/>
      </c>
      <c r="Q28" s="8" t="s">
        <v>0</v>
      </c>
      <c r="R28" s="6" t="s">
        <v>0</v>
      </c>
      <c r="S28" s="52" t="str">
        <f>IFERROR(FemalePayGapsByOccupationalSeriesAndRacialEthnicGroup[[#This Row],[Black Female Avg Salary]]/FemalePayGapsByOccupationalSeriesAndRacialEthnicGroup[[#This Row],[White Male Average Salary]],"")</f>
        <v/>
      </c>
      <c r="T28" s="10" t="str">
        <f>IFERROR(FemalePayGapsByOccupationalSeriesAndRacialEthnicGroup[[#This Row],[Hispanic Latino Female Employees]]/U$318,"")</f>
        <v/>
      </c>
      <c r="U28" s="8" t="s">
        <v>0</v>
      </c>
      <c r="V28" s="6" t="s">
        <v>0</v>
      </c>
      <c r="W2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8" s="10" t="str">
        <f>IFERROR(FemalePayGapsByOccupationalSeriesAndRacialEthnicGroup[[#This Row],[Other Female Employees]]/Y$318,"")</f>
        <v/>
      </c>
      <c r="Y28" s="8" t="s">
        <v>0</v>
      </c>
      <c r="Z28" s="6" t="s">
        <v>0</v>
      </c>
      <c r="AA2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9" spans="1:27" ht="15.6" x14ac:dyDescent="0.3">
      <c r="A29" s="46" t="s">
        <v>40</v>
      </c>
      <c r="B29" s="40">
        <v>7711</v>
      </c>
      <c r="C29" s="41">
        <v>123177.40111601401</v>
      </c>
      <c r="D29" s="70">
        <f>IFERROR(FemalePayGapsByOccupationalSeriesAndRacialEthnicGroup[[#This Row],[White Female Employees]]/E$318,"")</f>
        <v>7.8664090532707693E-3</v>
      </c>
      <c r="E29" s="16">
        <v>3591</v>
      </c>
      <c r="F29" s="17">
        <v>115839.810584958</v>
      </c>
      <c r="G29" s="18">
        <f>IFERROR(FemalePayGapsByOccupationalSeriesAndRacialEthnicGroup[[#This Row],[White Female Avg Salary]]/FemalePayGapsByOccupationalSeriesAndRacialEthnicGroup[[#This Row],[White Male Average Salary]],"")</f>
        <v>0.94043070835578735</v>
      </c>
      <c r="H29" s="10" t="str">
        <f>IFERROR(FemalePayGapsByOccupationalSeriesAndRacialEthnicGroup[[#This Row],[AIAN Female Employees]]/I$318,"")</f>
        <v/>
      </c>
      <c r="I29" t="s">
        <v>0</v>
      </c>
      <c r="J29" s="6" t="s">
        <v>0</v>
      </c>
      <c r="K29" s="52" t="str">
        <f>IFERROR(FemalePayGapsByOccupationalSeriesAndRacialEthnicGroup[[#This Row],[AIAN Female Avg Salary]]/FemalePayGapsByOccupationalSeriesAndRacialEthnicGroup[[#This Row],[White Male Average Salary]],"")</f>
        <v/>
      </c>
      <c r="L29" s="10">
        <f>IFERROR(FemalePayGapsByOccupationalSeriesAndRacialEthnicGroup[[#This Row],[ANHPI Female Employees]]/M$318,"")</f>
        <v>3.3356714207778038E-3</v>
      </c>
      <c r="M29" s="8">
        <v>214</v>
      </c>
      <c r="N29" s="6">
        <v>113120.140186916</v>
      </c>
      <c r="O29" s="52">
        <f>IFERROR(FemalePayGapsByOccupationalSeriesAndRacialEthnicGroup[[#This Row],[ANHPI Female Avg Salary]]/FemalePayGapsByOccupationalSeriesAndRacialEthnicGroup[[#This Row],[White Male Average Salary]],"")</f>
        <v>0.91835141155782607</v>
      </c>
      <c r="P29" s="10">
        <f>IFERROR(FemalePayGapsByOccupationalSeriesAndRacialEthnicGroup[[#This Row],[Black Female Employees]]/Q$318,"")</f>
        <v>2.2764536748805931E-3</v>
      </c>
      <c r="Q29" s="8">
        <v>479</v>
      </c>
      <c r="R29" s="6">
        <v>122623.858037578</v>
      </c>
      <c r="S29" s="52">
        <f>IFERROR(FemalePayGapsByOccupationalSeriesAndRacialEthnicGroup[[#This Row],[Black Female Avg Salary]]/FemalePayGapsByOccupationalSeriesAndRacialEthnicGroup[[#This Row],[White Male Average Salary]],"")</f>
        <v>0.99550613121058906</v>
      </c>
      <c r="T29" s="10">
        <f>IFERROR(FemalePayGapsByOccupationalSeriesAndRacialEthnicGroup[[#This Row],[Hispanic Latino Female Employees]]/U$318,"")</f>
        <v>6.4476433414943661E-3</v>
      </c>
      <c r="U29" s="8">
        <v>503</v>
      </c>
      <c r="V29" s="6">
        <v>113111.671968191</v>
      </c>
      <c r="W29" s="52">
        <f>IFERROR(FemalePayGapsByOccupationalSeriesAndRacialEthnicGroup[[#This Row],[Hispanic Latino Female Avg Salary]]/FemalePayGapsByOccupationalSeriesAndRacialEthnicGroup[[#This Row],[White Male Average Salary]],"")</f>
        <v>0.91828266340558162</v>
      </c>
      <c r="X29" s="10">
        <f>IFERROR(FemalePayGapsByOccupationalSeriesAndRacialEthnicGroup[[#This Row],[Other Female Employees]]/Y$318,"")</f>
        <v>9.157198575546888E-3</v>
      </c>
      <c r="Y29" s="8">
        <v>162</v>
      </c>
      <c r="Z29" s="6">
        <v>110291.524691358</v>
      </c>
      <c r="AA29" s="1">
        <f>IFERROR(FemalePayGapsByOccupationalSeriesAndRacialEthnicGroup[[#This Row],[Other Female Avg Salary]]/FemalePayGapsByOccupationalSeriesAndRacialEthnicGroup[[#This Row],[White Male Average Salary]],"")</f>
        <v>0.89538765789903696</v>
      </c>
    </row>
    <row r="30" spans="1:27" ht="15.6" x14ac:dyDescent="0.3">
      <c r="A30" s="45" t="s">
        <v>41</v>
      </c>
      <c r="B30" s="38">
        <v>542</v>
      </c>
      <c r="C30" s="39">
        <v>106645.598890943</v>
      </c>
      <c r="D30" s="69">
        <f>IFERROR(FemalePayGapsByOccupationalSeriesAndRacialEthnicGroup[[#This Row],[White Female Employees]]/E$318,"")</f>
        <v>5.8050637680778447E-4</v>
      </c>
      <c r="E30" s="67">
        <v>265</v>
      </c>
      <c r="F30" s="64">
        <v>101859.88679245301</v>
      </c>
      <c r="G30" s="72">
        <f>IFERROR(FemalePayGapsByOccupationalSeriesAndRacialEthnicGroup[[#This Row],[White Female Avg Salary]]/FemalePayGapsByOccupationalSeriesAndRacialEthnicGroup[[#This Row],[White Male Average Salary]],"")</f>
        <v>0.95512508581452182</v>
      </c>
      <c r="H30" s="10" t="str">
        <f>IFERROR(FemalePayGapsByOccupationalSeriesAndRacialEthnicGroup[[#This Row],[AIAN Female Employees]]/I$318,"")</f>
        <v/>
      </c>
      <c r="I30" t="s">
        <v>0</v>
      </c>
      <c r="J30" s="6" t="s">
        <v>0</v>
      </c>
      <c r="K30" s="52" t="str">
        <f>IFERROR(FemalePayGapsByOccupationalSeriesAndRacialEthnicGroup[[#This Row],[AIAN Female Avg Salary]]/FemalePayGapsByOccupationalSeriesAndRacialEthnicGroup[[#This Row],[White Male Average Salary]],"")</f>
        <v/>
      </c>
      <c r="L30" s="10" t="str">
        <f>IFERROR(FemalePayGapsByOccupationalSeriesAndRacialEthnicGroup[[#This Row],[ANHPI Female Employees]]/M$318,"")</f>
        <v/>
      </c>
      <c r="M30" s="8" t="s">
        <v>0</v>
      </c>
      <c r="N30" s="6" t="s">
        <v>0</v>
      </c>
      <c r="O30" s="52" t="str">
        <f>IFERROR(FemalePayGapsByOccupationalSeriesAndRacialEthnicGroup[[#This Row],[ANHPI Female Avg Salary]]/FemalePayGapsByOccupationalSeriesAndRacialEthnicGroup[[#This Row],[White Male Average Salary]],"")</f>
        <v/>
      </c>
      <c r="P30" s="10" t="str">
        <f>IFERROR(FemalePayGapsByOccupationalSeriesAndRacialEthnicGroup[[#This Row],[Black Female Employees]]/Q$318,"")</f>
        <v/>
      </c>
      <c r="Q30" s="8" t="s">
        <v>0</v>
      </c>
      <c r="R30" s="6" t="s">
        <v>0</v>
      </c>
      <c r="S30" s="52" t="str">
        <f>IFERROR(FemalePayGapsByOccupationalSeriesAndRacialEthnicGroup[[#This Row],[Black Female Avg Salary]]/FemalePayGapsByOccupationalSeriesAndRacialEthnicGroup[[#This Row],[White Male Average Salary]],"")</f>
        <v/>
      </c>
      <c r="T30" s="10" t="str">
        <f>IFERROR(FemalePayGapsByOccupationalSeriesAndRacialEthnicGroup[[#This Row],[Hispanic Latino Female Employees]]/U$318,"")</f>
        <v/>
      </c>
      <c r="U30" s="8" t="s">
        <v>0</v>
      </c>
      <c r="V30" s="6" t="s">
        <v>0</v>
      </c>
      <c r="W3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0" s="10" t="str">
        <f>IFERROR(FemalePayGapsByOccupationalSeriesAndRacialEthnicGroup[[#This Row],[Other Female Employees]]/Y$318,"")</f>
        <v/>
      </c>
      <c r="Y30" s="8" t="s">
        <v>0</v>
      </c>
      <c r="Z30" s="6" t="s">
        <v>0</v>
      </c>
      <c r="AA3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1" spans="1:27" ht="15.6" x14ac:dyDescent="0.3">
      <c r="A31" s="46" t="s">
        <v>42</v>
      </c>
      <c r="B31" s="40">
        <v>440</v>
      </c>
      <c r="C31" s="41">
        <v>111618.461363636</v>
      </c>
      <c r="D31" s="70">
        <f>IFERROR(FemalePayGapsByOccupationalSeriesAndRacialEthnicGroup[[#This Row],[White Female Employees]]/E$318,"")</f>
        <v>4.359274301311287E-4</v>
      </c>
      <c r="E31" s="16">
        <v>199</v>
      </c>
      <c r="F31" s="17">
        <v>107944.286432161</v>
      </c>
      <c r="G31" s="18">
        <f>IFERROR(FemalePayGapsByOccupationalSeriesAndRacialEthnicGroup[[#This Row],[White Female Avg Salary]]/FemalePayGapsByOccupationalSeriesAndRacialEthnicGroup[[#This Row],[White Male Average Salary]],"")</f>
        <v>0.96708273087992946</v>
      </c>
      <c r="H31" s="10" t="str">
        <f>IFERROR(FemalePayGapsByOccupationalSeriesAndRacialEthnicGroup[[#This Row],[AIAN Female Employees]]/I$318,"")</f>
        <v/>
      </c>
      <c r="I31" t="s">
        <v>0</v>
      </c>
      <c r="J31" s="6" t="s">
        <v>0</v>
      </c>
      <c r="K31" s="52" t="str">
        <f>IFERROR(FemalePayGapsByOccupationalSeriesAndRacialEthnicGroup[[#This Row],[AIAN Female Avg Salary]]/FemalePayGapsByOccupationalSeriesAndRacialEthnicGroup[[#This Row],[White Male Average Salary]],"")</f>
        <v/>
      </c>
      <c r="L31" s="10" t="str">
        <f>IFERROR(FemalePayGapsByOccupationalSeriesAndRacialEthnicGroup[[#This Row],[ANHPI Female Employees]]/M$318,"")</f>
        <v/>
      </c>
      <c r="M31" s="8" t="s">
        <v>0</v>
      </c>
      <c r="N31" s="6" t="s">
        <v>0</v>
      </c>
      <c r="O31" s="52" t="str">
        <f>IFERROR(FemalePayGapsByOccupationalSeriesAndRacialEthnicGroup[[#This Row],[ANHPI Female Avg Salary]]/FemalePayGapsByOccupationalSeriesAndRacialEthnicGroup[[#This Row],[White Male Average Salary]],"")</f>
        <v/>
      </c>
      <c r="P31" s="10" t="str">
        <f>IFERROR(FemalePayGapsByOccupationalSeriesAndRacialEthnicGroup[[#This Row],[Black Female Employees]]/Q$318,"")</f>
        <v/>
      </c>
      <c r="Q31" s="8" t="s">
        <v>0</v>
      </c>
      <c r="R31" s="6" t="s">
        <v>0</v>
      </c>
      <c r="S31" s="52" t="str">
        <f>IFERROR(FemalePayGapsByOccupationalSeriesAndRacialEthnicGroup[[#This Row],[Black Female Avg Salary]]/FemalePayGapsByOccupationalSeriesAndRacialEthnicGroup[[#This Row],[White Male Average Salary]],"")</f>
        <v/>
      </c>
      <c r="T31" s="10" t="str">
        <f>IFERROR(FemalePayGapsByOccupationalSeriesAndRacialEthnicGroup[[#This Row],[Hispanic Latino Female Employees]]/U$318,"")</f>
        <v/>
      </c>
      <c r="U31" s="8" t="s">
        <v>0</v>
      </c>
      <c r="V31" s="6" t="s">
        <v>0</v>
      </c>
      <c r="W3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1" s="10" t="str">
        <f>IFERROR(FemalePayGapsByOccupationalSeriesAndRacialEthnicGroup[[#This Row],[Other Female Employees]]/Y$318,"")</f>
        <v/>
      </c>
      <c r="Y31" s="8" t="s">
        <v>0</v>
      </c>
      <c r="Z31" s="6" t="s">
        <v>0</v>
      </c>
      <c r="AA3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2" spans="1:27" ht="15.6" x14ac:dyDescent="0.3">
      <c r="A32" s="45" t="s">
        <v>43</v>
      </c>
      <c r="B32" s="38">
        <v>2353</v>
      </c>
      <c r="C32" s="39">
        <v>126255.282247765</v>
      </c>
      <c r="D32" s="69">
        <f>IFERROR(FemalePayGapsByOccupationalSeriesAndRacialEthnicGroup[[#This Row],[White Female Employees]]/E$318,"")</f>
        <v>9.3735350428698488E-3</v>
      </c>
      <c r="E32" s="67">
        <v>4279</v>
      </c>
      <c r="F32" s="64">
        <v>120168.580449018</v>
      </c>
      <c r="G32" s="72">
        <f>IFERROR(FemalePayGapsByOccupationalSeriesAndRacialEthnicGroup[[#This Row],[White Female Avg Salary]]/FemalePayGapsByOccupationalSeriesAndRacialEthnicGroup[[#This Row],[White Male Average Salary]],"")</f>
        <v>0.95179051766877854</v>
      </c>
      <c r="H32" s="10" t="str">
        <f>IFERROR(FemalePayGapsByOccupationalSeriesAndRacialEthnicGroup[[#This Row],[AIAN Female Employees]]/I$318,"")</f>
        <v/>
      </c>
      <c r="I32" t="s">
        <v>0</v>
      </c>
      <c r="J32" s="6" t="s">
        <v>0</v>
      </c>
      <c r="K32" s="52" t="str">
        <f>IFERROR(FemalePayGapsByOccupationalSeriesAndRacialEthnicGroup[[#This Row],[AIAN Female Avg Salary]]/FemalePayGapsByOccupationalSeriesAndRacialEthnicGroup[[#This Row],[White Male Average Salary]],"")</f>
        <v/>
      </c>
      <c r="L32" s="10">
        <f>IFERROR(FemalePayGapsByOccupationalSeriesAndRacialEthnicGroup[[#This Row],[ANHPI Female Employees]]/M$318,"")</f>
        <v>4.6917621385706492E-3</v>
      </c>
      <c r="M32" s="8">
        <v>301</v>
      </c>
      <c r="N32" s="6">
        <v>122184.747508306</v>
      </c>
      <c r="O32" s="52">
        <f>IFERROR(FemalePayGapsByOccupationalSeriesAndRacialEthnicGroup[[#This Row],[ANHPI Female Avg Salary]]/FemalePayGapsByOccupationalSeriesAndRacialEthnicGroup[[#This Row],[White Male Average Salary]],"")</f>
        <v>0.96775948960716796</v>
      </c>
      <c r="P32" s="10">
        <f>IFERROR(FemalePayGapsByOccupationalSeriesAndRacialEthnicGroup[[#This Row],[Black Female Employees]]/Q$318,"")</f>
        <v>2.1528883397096215E-3</v>
      </c>
      <c r="Q32" s="8">
        <v>453</v>
      </c>
      <c r="R32" s="6">
        <v>118214.21854304599</v>
      </c>
      <c r="S32" s="52">
        <f>IFERROR(FemalePayGapsByOccupationalSeriesAndRacialEthnicGroup[[#This Row],[Black Female Avg Salary]]/FemalePayGapsByOccupationalSeriesAndRacialEthnicGroup[[#This Row],[White Male Average Salary]],"")</f>
        <v>0.93631107101769318</v>
      </c>
      <c r="T32" s="10">
        <f>IFERROR(FemalePayGapsByOccupationalSeriesAndRacialEthnicGroup[[#This Row],[Hispanic Latino Female Employees]]/U$318,"")</f>
        <v>4.0377885736992553E-3</v>
      </c>
      <c r="U32" s="8">
        <v>315</v>
      </c>
      <c r="V32" s="6">
        <v>112937.95541401301</v>
      </c>
      <c r="W32" s="52">
        <f>IFERROR(FemalePayGapsByOccupationalSeriesAndRacialEthnicGroup[[#This Row],[Hispanic Latino Female Avg Salary]]/FemalePayGapsByOccupationalSeriesAndRacialEthnicGroup[[#This Row],[White Male Average Salary]],"")</f>
        <v>0.89452063631192946</v>
      </c>
      <c r="X32" s="10">
        <f>IFERROR(FemalePayGapsByOccupationalSeriesAndRacialEthnicGroup[[#This Row],[Other Female Employees]]/Y$318,"")</f>
        <v>5.5960657961675432E-3</v>
      </c>
      <c r="Y32" s="8">
        <v>99</v>
      </c>
      <c r="Z32" s="6">
        <v>113753.01010101</v>
      </c>
      <c r="AA32" s="1">
        <f>IFERROR(FemalePayGapsByOccupationalSeriesAndRacialEthnicGroup[[#This Row],[Other Female Avg Salary]]/FemalePayGapsByOccupationalSeriesAndRacialEthnicGroup[[#This Row],[White Male Average Salary]],"")</f>
        <v>0.9009762449208234</v>
      </c>
    </row>
    <row r="33" spans="1:27" ht="15.6" x14ac:dyDescent="0.3">
      <c r="A33" s="46" t="s">
        <v>44</v>
      </c>
      <c r="B33" s="40">
        <v>146</v>
      </c>
      <c r="C33" s="41">
        <v>58764.390410959</v>
      </c>
      <c r="D33" s="70">
        <f>IFERROR(FemalePayGapsByOccupationalSeriesAndRacialEthnicGroup[[#This Row],[White Female Employees]]/E$318,"")</f>
        <v>4.5783333114274321E-4</v>
      </c>
      <c r="E33" s="16">
        <v>209</v>
      </c>
      <c r="F33" s="17">
        <v>57718.626794258002</v>
      </c>
      <c r="G33" s="18">
        <f>IFERROR(FemalePayGapsByOccupationalSeriesAndRacialEthnicGroup[[#This Row],[White Female Avg Salary]]/FemalePayGapsByOccupationalSeriesAndRacialEthnicGroup[[#This Row],[White Male Average Salary]],"")</f>
        <v>0.98220412720377726</v>
      </c>
      <c r="H33" s="10" t="str">
        <f>IFERROR(FemalePayGapsByOccupationalSeriesAndRacialEthnicGroup[[#This Row],[AIAN Female Employees]]/I$318,"")</f>
        <v/>
      </c>
      <c r="I33" t="s">
        <v>0</v>
      </c>
      <c r="J33" s="6" t="s">
        <v>0</v>
      </c>
      <c r="K33" s="52" t="str">
        <f>IFERROR(FemalePayGapsByOccupationalSeriesAndRacialEthnicGroup[[#This Row],[AIAN Female Avg Salary]]/FemalePayGapsByOccupationalSeriesAndRacialEthnicGroup[[#This Row],[White Male Average Salary]],"")</f>
        <v/>
      </c>
      <c r="L33" s="10" t="str">
        <f>IFERROR(FemalePayGapsByOccupationalSeriesAndRacialEthnicGroup[[#This Row],[ANHPI Female Employees]]/M$318,"")</f>
        <v/>
      </c>
      <c r="M33" s="8" t="s">
        <v>0</v>
      </c>
      <c r="N33" s="6" t="s">
        <v>0</v>
      </c>
      <c r="O33" s="52" t="str">
        <f>IFERROR(FemalePayGapsByOccupationalSeriesAndRacialEthnicGroup[[#This Row],[ANHPI Female Avg Salary]]/FemalePayGapsByOccupationalSeriesAndRacialEthnicGroup[[#This Row],[White Male Average Salary]],"")</f>
        <v/>
      </c>
      <c r="P33" s="10">
        <f>IFERROR(FemalePayGapsByOccupationalSeriesAndRacialEthnicGroup[[#This Row],[Black Female Employees]]/Q$318,"")</f>
        <v>6.2733170163724067E-4</v>
      </c>
      <c r="Q33" s="8">
        <v>132</v>
      </c>
      <c r="R33" s="6">
        <v>57703.727272727003</v>
      </c>
      <c r="S33" s="52">
        <f>IFERROR(FemalePayGapsByOccupationalSeriesAndRacialEthnicGroup[[#This Row],[Black Female Avg Salary]]/FemalePayGapsByOccupationalSeriesAndRacialEthnicGroup[[#This Row],[White Male Average Salary]],"")</f>
        <v>0.98195058043120287</v>
      </c>
      <c r="T33" s="10" t="str">
        <f>IFERROR(FemalePayGapsByOccupationalSeriesAndRacialEthnicGroup[[#This Row],[Hispanic Latino Female Employees]]/U$318,"")</f>
        <v/>
      </c>
      <c r="U33" s="8" t="s">
        <v>0</v>
      </c>
      <c r="V33" s="6" t="s">
        <v>0</v>
      </c>
      <c r="W3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3" s="10" t="str">
        <f>IFERROR(FemalePayGapsByOccupationalSeriesAndRacialEthnicGroup[[#This Row],[Other Female Employees]]/Y$318,"")</f>
        <v/>
      </c>
      <c r="Y33" s="8" t="s">
        <v>0</v>
      </c>
      <c r="Z33" s="6" t="s">
        <v>0</v>
      </c>
      <c r="AA3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4" spans="1:27" ht="15.6" x14ac:dyDescent="0.3">
      <c r="A34" s="45" t="s">
        <v>45</v>
      </c>
      <c r="B34" s="38">
        <v>3022</v>
      </c>
      <c r="C34" s="39">
        <v>90422.666225166002</v>
      </c>
      <c r="D34" s="69">
        <f>IFERROR(FemalePayGapsByOccupationalSeriesAndRacialEthnicGroup[[#This Row],[White Female Employees]]/E$318,"")</f>
        <v>2.1844564488781987E-2</v>
      </c>
      <c r="E34" s="67">
        <v>9972</v>
      </c>
      <c r="F34" s="64">
        <v>89554.935279951998</v>
      </c>
      <c r="G34" s="72">
        <f>IFERROR(FemalePayGapsByOccupationalSeriesAndRacialEthnicGroup[[#This Row],[White Female Avg Salary]]/FemalePayGapsByOccupationalSeriesAndRacialEthnicGroup[[#This Row],[White Male Average Salary]],"")</f>
        <v>0.99040361248524544</v>
      </c>
      <c r="H34" s="10">
        <f>IFERROR(FemalePayGapsByOccupationalSeriesAndRacialEthnicGroup[[#This Row],[AIAN Female Employees]]/I$318,"")</f>
        <v>1.4164133738601824E-2</v>
      </c>
      <c r="I34">
        <v>233</v>
      </c>
      <c r="J34" s="6">
        <v>89241.137339056004</v>
      </c>
      <c r="K34" s="52">
        <f>IFERROR(FemalePayGapsByOccupationalSeriesAndRacialEthnicGroup[[#This Row],[AIAN Female Avg Salary]]/FemalePayGapsByOccupationalSeriesAndRacialEthnicGroup[[#This Row],[White Male Average Salary]],"")</f>
        <v>0.98693326645370294</v>
      </c>
      <c r="L34" s="10">
        <f>IFERROR(FemalePayGapsByOccupationalSeriesAndRacialEthnicGroup[[#This Row],[ANHPI Female Employees]]/M$318,"")</f>
        <v>7.3727690748967342E-3</v>
      </c>
      <c r="M34" s="8">
        <v>473</v>
      </c>
      <c r="N34" s="6">
        <v>92543.205944797999</v>
      </c>
      <c r="O34" s="52">
        <f>IFERROR(FemalePayGapsByOccupationalSeriesAndRacialEthnicGroup[[#This Row],[ANHPI Female Avg Salary]]/FemalePayGapsByOccupationalSeriesAndRacialEthnicGroup[[#This Row],[White Male Average Salary]],"")</f>
        <v>1.0234514177490801</v>
      </c>
      <c r="P34" s="10">
        <f>IFERROR(FemalePayGapsByOccupationalSeriesAndRacialEthnicGroup[[#This Row],[Black Female Employees]]/Q$318,"")</f>
        <v>1.5445666896371456E-2</v>
      </c>
      <c r="Q34" s="8">
        <v>3250</v>
      </c>
      <c r="R34" s="6">
        <v>88218.021250385005</v>
      </c>
      <c r="S34" s="52">
        <f>IFERROR(FemalePayGapsByOccupationalSeriesAndRacialEthnicGroup[[#This Row],[Black Female Avg Salary]]/FemalePayGapsByOccupationalSeriesAndRacialEthnicGroup[[#This Row],[White Male Average Salary]],"")</f>
        <v>0.97561844759928773</v>
      </c>
      <c r="T34" s="10">
        <f>IFERROR(FemalePayGapsByOccupationalSeriesAndRacialEthnicGroup[[#This Row],[Hispanic Latino Female Employees]]/U$318,"")</f>
        <v>1.2190275979644418E-2</v>
      </c>
      <c r="U34" s="8">
        <v>951</v>
      </c>
      <c r="V34" s="6">
        <v>88348.736842105005</v>
      </c>
      <c r="W34" s="52">
        <f>IFERROR(FemalePayGapsByOccupationalSeriesAndRacialEthnicGroup[[#This Row],[Hispanic Latino Female Avg Salary]]/FemalePayGapsByOccupationalSeriesAndRacialEthnicGroup[[#This Row],[White Male Average Salary]],"")</f>
        <v>0.97706405407360364</v>
      </c>
      <c r="X34" s="10">
        <f>IFERROR(FemalePayGapsByOccupationalSeriesAndRacialEthnicGroup[[#This Row],[Other Female Employees]]/Y$318,"")</f>
        <v>1.3453168277655305E-2</v>
      </c>
      <c r="Y34" s="8">
        <v>238</v>
      </c>
      <c r="Z34" s="6">
        <v>88310.687763712995</v>
      </c>
      <c r="AA34" s="1">
        <f>IFERROR(FemalePayGapsByOccupationalSeriesAndRacialEthnicGroup[[#This Row],[Other Female Avg Salary]]/FemalePayGapsByOccupationalSeriesAndRacialEthnicGroup[[#This Row],[White Male Average Salary]],"")</f>
        <v>0.97664326269484392</v>
      </c>
    </row>
    <row r="35" spans="1:27" ht="15.6" x14ac:dyDescent="0.3">
      <c r="A35" s="46" t="s">
        <v>46</v>
      </c>
      <c r="B35" s="40">
        <v>242</v>
      </c>
      <c r="C35" s="41">
        <v>50569.483471074003</v>
      </c>
      <c r="D35" s="70">
        <f>IFERROR(FemalePayGapsByOccupationalSeriesAndRacialEthnicGroup[[#This Row],[White Female Employees]]/E$318,"")</f>
        <v>6.3308053923565933E-4</v>
      </c>
      <c r="E35" s="16">
        <v>289</v>
      </c>
      <c r="F35" s="17">
        <v>50254.295138889</v>
      </c>
      <c r="G35" s="18">
        <f>IFERROR(FemalePayGapsByOccupationalSeriesAndRacialEthnicGroup[[#This Row],[White Female Avg Salary]]/FemalePayGapsByOccupationalSeriesAndRacialEthnicGroup[[#This Row],[White Male Average Salary]],"")</f>
        <v>0.99376722263012052</v>
      </c>
      <c r="H35" s="10" t="str">
        <f>IFERROR(FemalePayGapsByOccupationalSeriesAndRacialEthnicGroup[[#This Row],[AIAN Female Employees]]/I$318,"")</f>
        <v/>
      </c>
      <c r="I35" t="s">
        <v>0</v>
      </c>
      <c r="J35" s="6" t="s">
        <v>0</v>
      </c>
      <c r="K35" s="52" t="str">
        <f>IFERROR(FemalePayGapsByOccupationalSeriesAndRacialEthnicGroup[[#This Row],[AIAN Female Avg Salary]]/FemalePayGapsByOccupationalSeriesAndRacialEthnicGroup[[#This Row],[White Male Average Salary]],"")</f>
        <v/>
      </c>
      <c r="L35" s="10" t="str">
        <f>IFERROR(FemalePayGapsByOccupationalSeriesAndRacialEthnicGroup[[#This Row],[ANHPI Female Employees]]/M$318,"")</f>
        <v/>
      </c>
      <c r="M35" s="8" t="s">
        <v>0</v>
      </c>
      <c r="N35" s="6" t="s">
        <v>0</v>
      </c>
      <c r="O35" s="52" t="str">
        <f>IFERROR(FemalePayGapsByOccupationalSeriesAndRacialEthnicGroup[[#This Row],[ANHPI Female Avg Salary]]/FemalePayGapsByOccupationalSeriesAndRacialEthnicGroup[[#This Row],[White Male Average Salary]],"")</f>
        <v/>
      </c>
      <c r="P35" s="10">
        <f>IFERROR(FemalePayGapsByOccupationalSeriesAndRacialEthnicGroup[[#This Row],[Black Female Employees]]/Q$318,"")</f>
        <v>1.007532732932538E-3</v>
      </c>
      <c r="Q35" s="8">
        <v>212</v>
      </c>
      <c r="R35" s="6">
        <v>52955.976415094003</v>
      </c>
      <c r="S35" s="52">
        <f>IFERROR(FemalePayGapsByOccupationalSeriesAndRacialEthnicGroup[[#This Row],[Black Female Avg Salary]]/FemalePayGapsByOccupationalSeriesAndRacialEthnicGroup[[#This Row],[White Male Average Salary]],"")</f>
        <v>1.0471923535739709</v>
      </c>
      <c r="T35" s="10">
        <f>IFERROR(FemalePayGapsByOccupationalSeriesAndRacialEthnicGroup[[#This Row],[Hispanic Latino Female Employees]]/U$318,"")</f>
        <v>8.3319446758873519E-4</v>
      </c>
      <c r="U35" s="8">
        <v>65</v>
      </c>
      <c r="V35" s="6">
        <v>50598.523076922997</v>
      </c>
      <c r="W35" s="52">
        <f>IFERROR(FemalePayGapsByOccupationalSeriesAndRacialEthnicGroup[[#This Row],[Hispanic Latino Female Avg Salary]]/FemalePayGapsByOccupationalSeriesAndRacialEthnicGroup[[#This Row],[White Male Average Salary]],"")</f>
        <v>1.0005742515813041</v>
      </c>
      <c r="X35" s="10" t="str">
        <f>IFERROR(FemalePayGapsByOccupationalSeriesAndRacialEthnicGroup[[#This Row],[Other Female Employees]]/Y$318,"")</f>
        <v/>
      </c>
      <c r="Y35" s="8" t="s">
        <v>0</v>
      </c>
      <c r="Z35" s="6" t="s">
        <v>0</v>
      </c>
      <c r="AA3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6" spans="1:27" ht="15.6" x14ac:dyDescent="0.3">
      <c r="A36" s="45" t="s">
        <v>47</v>
      </c>
      <c r="B36" s="38">
        <v>58</v>
      </c>
      <c r="C36" s="39">
        <v>54894.103448276001</v>
      </c>
      <c r="D36" s="69">
        <f>IFERROR(FemalePayGapsByOccupationalSeriesAndRacialEthnicGroup[[#This Row],[White Female Employees]]/E$318,"")</f>
        <v>1.6429425758710881E-4</v>
      </c>
      <c r="E36" s="67">
        <v>75</v>
      </c>
      <c r="F36" s="64">
        <v>55130.173333332998</v>
      </c>
      <c r="G36" s="72">
        <f>IFERROR(FemalePayGapsByOccupationalSeriesAndRacialEthnicGroup[[#This Row],[White Female Avg Salary]]/FemalePayGapsByOccupationalSeriesAndRacialEthnicGroup[[#This Row],[White Male Average Salary]],"")</f>
        <v>1.0043004597985543</v>
      </c>
      <c r="H36" s="10" t="str">
        <f>IFERROR(FemalePayGapsByOccupationalSeriesAndRacialEthnicGroup[[#This Row],[AIAN Female Employees]]/I$318,"")</f>
        <v/>
      </c>
      <c r="I36" t="s">
        <v>0</v>
      </c>
      <c r="J36" s="6" t="s">
        <v>0</v>
      </c>
      <c r="K36" s="52" t="str">
        <f>IFERROR(FemalePayGapsByOccupationalSeriesAndRacialEthnicGroup[[#This Row],[AIAN Female Avg Salary]]/FemalePayGapsByOccupationalSeriesAndRacialEthnicGroup[[#This Row],[White Male Average Salary]],"")</f>
        <v/>
      </c>
      <c r="L36" s="10" t="str">
        <f>IFERROR(FemalePayGapsByOccupationalSeriesAndRacialEthnicGroup[[#This Row],[ANHPI Female Employees]]/M$318,"")</f>
        <v/>
      </c>
      <c r="M36" s="8" t="s">
        <v>0</v>
      </c>
      <c r="N36" s="6" t="s">
        <v>0</v>
      </c>
      <c r="O36" s="52" t="str">
        <f>IFERROR(FemalePayGapsByOccupationalSeriesAndRacialEthnicGroup[[#This Row],[ANHPI Female Avg Salary]]/FemalePayGapsByOccupationalSeriesAndRacialEthnicGroup[[#This Row],[White Male Average Salary]],"")</f>
        <v/>
      </c>
      <c r="P36" s="10" t="str">
        <f>IFERROR(FemalePayGapsByOccupationalSeriesAndRacialEthnicGroup[[#This Row],[Black Female Employees]]/Q$318,"")</f>
        <v/>
      </c>
      <c r="Q36" s="8" t="s">
        <v>0</v>
      </c>
      <c r="R36" s="6" t="s">
        <v>0</v>
      </c>
      <c r="S36" s="52" t="str">
        <f>IFERROR(FemalePayGapsByOccupationalSeriesAndRacialEthnicGroup[[#This Row],[Black Female Avg Salary]]/FemalePayGapsByOccupationalSeriesAndRacialEthnicGroup[[#This Row],[White Male Average Salary]],"")</f>
        <v/>
      </c>
      <c r="T36" s="10" t="str">
        <f>IFERROR(FemalePayGapsByOccupationalSeriesAndRacialEthnicGroup[[#This Row],[Hispanic Latino Female Employees]]/U$318,"")</f>
        <v/>
      </c>
      <c r="U36" s="8" t="s">
        <v>0</v>
      </c>
      <c r="V36" s="6" t="s">
        <v>0</v>
      </c>
      <c r="W3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6" s="10" t="str">
        <f>IFERROR(FemalePayGapsByOccupationalSeriesAndRacialEthnicGroup[[#This Row],[Other Female Employees]]/Y$318,"")</f>
        <v/>
      </c>
      <c r="Y36" s="8" t="s">
        <v>0</v>
      </c>
      <c r="Z36" s="6" t="s">
        <v>0</v>
      </c>
      <c r="AA3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7" spans="1:27" ht="15.6" x14ac:dyDescent="0.3">
      <c r="A37" s="46" t="s">
        <v>48</v>
      </c>
      <c r="B37" s="40">
        <v>406</v>
      </c>
      <c r="C37" s="41">
        <v>70661.541871920999</v>
      </c>
      <c r="D37" s="70">
        <f>IFERROR(FemalePayGapsByOccupationalSeriesAndRacialEthnicGroup[[#This Row],[White Female Employees]]/E$318,"")</f>
        <v>2.6725199234169702E-4</v>
      </c>
      <c r="E37" s="16">
        <v>122</v>
      </c>
      <c r="F37" s="17">
        <v>65277.442622950999</v>
      </c>
      <c r="G37" s="18">
        <f>IFERROR(FemalePayGapsByOccupationalSeriesAndRacialEthnicGroup[[#This Row],[White Female Avg Salary]]/FemalePayGapsByOccupationalSeriesAndRacialEthnicGroup[[#This Row],[White Male Average Salary]],"")</f>
        <v>0.92380439053072094</v>
      </c>
      <c r="H37" s="10" t="str">
        <f>IFERROR(FemalePayGapsByOccupationalSeriesAndRacialEthnicGroup[[#This Row],[AIAN Female Employees]]/I$318,"")</f>
        <v/>
      </c>
      <c r="I37" t="s">
        <v>0</v>
      </c>
      <c r="J37" s="6" t="s">
        <v>0</v>
      </c>
      <c r="K37" s="52" t="str">
        <f>IFERROR(FemalePayGapsByOccupationalSeriesAndRacialEthnicGroup[[#This Row],[AIAN Female Avg Salary]]/FemalePayGapsByOccupationalSeriesAndRacialEthnicGroup[[#This Row],[White Male Average Salary]],"")</f>
        <v/>
      </c>
      <c r="L37" s="10" t="str">
        <f>IFERROR(FemalePayGapsByOccupationalSeriesAndRacialEthnicGroup[[#This Row],[ANHPI Female Employees]]/M$318,"")</f>
        <v/>
      </c>
      <c r="M37" s="8" t="s">
        <v>0</v>
      </c>
      <c r="N37" s="6" t="s">
        <v>0</v>
      </c>
      <c r="O37" s="52" t="str">
        <f>IFERROR(FemalePayGapsByOccupationalSeriesAndRacialEthnicGroup[[#This Row],[ANHPI Female Avg Salary]]/FemalePayGapsByOccupationalSeriesAndRacialEthnicGroup[[#This Row],[White Male Average Salary]],"")</f>
        <v/>
      </c>
      <c r="P37" s="10">
        <f>IFERROR(FemalePayGapsByOccupationalSeriesAndRacialEthnicGroup[[#This Row],[Black Female Employees]]/Q$318,"")</f>
        <v>3.4218092816576764E-4</v>
      </c>
      <c r="Q37" s="8">
        <v>72</v>
      </c>
      <c r="R37" s="6">
        <v>66014.388888889007</v>
      </c>
      <c r="S37" s="52">
        <f>IFERROR(FemalePayGapsByOccupationalSeriesAndRacialEthnicGroup[[#This Row],[Black Female Avg Salary]]/FemalePayGapsByOccupationalSeriesAndRacialEthnicGroup[[#This Row],[White Male Average Salary]],"")</f>
        <v>0.9342336317617399</v>
      </c>
      <c r="T37" s="10" t="str">
        <f>IFERROR(FemalePayGapsByOccupationalSeriesAndRacialEthnicGroup[[#This Row],[Hispanic Latino Female Employees]]/U$318,"")</f>
        <v/>
      </c>
      <c r="U37" s="8" t="s">
        <v>0</v>
      </c>
      <c r="V37" s="6" t="s">
        <v>0</v>
      </c>
      <c r="W3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7" s="10" t="str">
        <f>IFERROR(FemalePayGapsByOccupationalSeriesAndRacialEthnicGroup[[#This Row],[Other Female Employees]]/Y$318,"")</f>
        <v/>
      </c>
      <c r="Y37" s="8" t="s">
        <v>0</v>
      </c>
      <c r="Z37" s="6" t="s">
        <v>0</v>
      </c>
      <c r="AA3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8" spans="1:27" ht="15.6" x14ac:dyDescent="0.3">
      <c r="A38" s="45" t="s">
        <v>49</v>
      </c>
      <c r="B38" s="38">
        <v>128</v>
      </c>
      <c r="C38" s="39">
        <v>45895.7421875</v>
      </c>
      <c r="D38" s="69">
        <f>IFERROR(FemalePayGapsByOccupationalSeriesAndRacialEthnicGroup[[#This Row],[White Female Employees]]/E$318,"")</f>
        <v>1.8400956849756188E-4</v>
      </c>
      <c r="E38" s="67">
        <v>84</v>
      </c>
      <c r="F38" s="64">
        <v>45047.666666666999</v>
      </c>
      <c r="G38" s="72">
        <f>IFERROR(FemalePayGapsByOccupationalSeriesAndRacialEthnicGroup[[#This Row],[White Female Avg Salary]]/FemalePayGapsByOccupationalSeriesAndRacialEthnicGroup[[#This Row],[White Male Average Salary]],"")</f>
        <v>0.98152169503287867</v>
      </c>
      <c r="H38" s="10" t="str">
        <f>IFERROR(FemalePayGapsByOccupationalSeriesAndRacialEthnicGroup[[#This Row],[AIAN Female Employees]]/I$318,"")</f>
        <v/>
      </c>
      <c r="I38" t="s">
        <v>0</v>
      </c>
      <c r="J38" s="6" t="s">
        <v>0</v>
      </c>
      <c r="K38" s="52" t="str">
        <f>IFERROR(FemalePayGapsByOccupationalSeriesAndRacialEthnicGroup[[#This Row],[AIAN Female Avg Salary]]/FemalePayGapsByOccupationalSeriesAndRacialEthnicGroup[[#This Row],[White Male Average Salary]],"")</f>
        <v/>
      </c>
      <c r="L38" s="10" t="str">
        <f>IFERROR(FemalePayGapsByOccupationalSeriesAndRacialEthnicGroup[[#This Row],[ANHPI Female Employees]]/M$318,"")</f>
        <v/>
      </c>
      <c r="M38" s="8" t="s">
        <v>0</v>
      </c>
      <c r="N38" s="6" t="s">
        <v>0</v>
      </c>
      <c r="O38" s="52" t="str">
        <f>IFERROR(FemalePayGapsByOccupationalSeriesAndRacialEthnicGroup[[#This Row],[ANHPI Female Avg Salary]]/FemalePayGapsByOccupationalSeriesAndRacialEthnicGroup[[#This Row],[White Male Average Salary]],"")</f>
        <v/>
      </c>
      <c r="P38" s="10">
        <f>IFERROR(FemalePayGapsByOccupationalSeriesAndRacialEthnicGroup[[#This Row],[Black Female Employees]]/Q$318,"")</f>
        <v>1.9960554143003112E-4</v>
      </c>
      <c r="Q38" s="8">
        <v>42</v>
      </c>
      <c r="R38" s="6">
        <v>45932.261904762003</v>
      </c>
      <c r="S38" s="52">
        <f>IFERROR(FemalePayGapsByOccupationalSeriesAndRacialEthnicGroup[[#This Row],[Black Female Avg Salary]]/FemalePayGapsByOccupationalSeriesAndRacialEthnicGroup[[#This Row],[White Male Average Salary]],"")</f>
        <v>1.000795710353976</v>
      </c>
      <c r="T38" s="10" t="str">
        <f>IFERROR(FemalePayGapsByOccupationalSeriesAndRacialEthnicGroup[[#This Row],[Hispanic Latino Female Employees]]/U$318,"")</f>
        <v/>
      </c>
      <c r="U38" s="8" t="s">
        <v>0</v>
      </c>
      <c r="V38" s="6" t="s">
        <v>0</v>
      </c>
      <c r="W3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8" s="10" t="str">
        <f>IFERROR(FemalePayGapsByOccupationalSeriesAndRacialEthnicGroup[[#This Row],[Other Female Employees]]/Y$318,"")</f>
        <v/>
      </c>
      <c r="Y38" s="8" t="s">
        <v>0</v>
      </c>
      <c r="Z38" s="6" t="s">
        <v>0</v>
      </c>
      <c r="AA3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9" spans="1:27" ht="15.6" x14ac:dyDescent="0.3">
      <c r="A39" s="46" t="s">
        <v>50</v>
      </c>
      <c r="B39" s="40">
        <v>565</v>
      </c>
      <c r="C39" s="41">
        <v>88452.775221239004</v>
      </c>
      <c r="D39" s="70">
        <f>IFERROR(FemalePayGapsByOccupationalSeriesAndRacialEthnicGroup[[#This Row],[White Female Employees]]/E$318,"")</f>
        <v>1.25301753786435E-3</v>
      </c>
      <c r="E39" s="16">
        <v>572</v>
      </c>
      <c r="F39" s="17">
        <v>83745.666083916003</v>
      </c>
      <c r="G39" s="18">
        <f>IFERROR(FemalePayGapsByOccupationalSeriesAndRacialEthnicGroup[[#This Row],[White Female Avg Salary]]/FemalePayGapsByOccupationalSeriesAndRacialEthnicGroup[[#This Row],[White Male Average Salary]],"")</f>
        <v>0.94678392932783029</v>
      </c>
      <c r="H39" s="10" t="str">
        <f>IFERROR(FemalePayGapsByOccupationalSeriesAndRacialEthnicGroup[[#This Row],[AIAN Female Employees]]/I$318,"")</f>
        <v/>
      </c>
      <c r="I39" t="s">
        <v>0</v>
      </c>
      <c r="J39" s="6" t="s">
        <v>0</v>
      </c>
      <c r="K39" s="52" t="str">
        <f>IFERROR(FemalePayGapsByOccupationalSeriesAndRacialEthnicGroup[[#This Row],[AIAN Female Avg Salary]]/FemalePayGapsByOccupationalSeriesAndRacialEthnicGroup[[#This Row],[White Male Average Salary]],"")</f>
        <v/>
      </c>
      <c r="L39" s="10" t="str">
        <f>IFERROR(FemalePayGapsByOccupationalSeriesAndRacialEthnicGroup[[#This Row],[ANHPI Female Employees]]/M$318,"")</f>
        <v/>
      </c>
      <c r="M39" s="8" t="s">
        <v>0</v>
      </c>
      <c r="N39" s="6" t="s">
        <v>0</v>
      </c>
      <c r="O39" s="52" t="str">
        <f>IFERROR(FemalePayGapsByOccupationalSeriesAndRacialEthnicGroup[[#This Row],[ANHPI Female Avg Salary]]/FemalePayGapsByOccupationalSeriesAndRacialEthnicGroup[[#This Row],[White Male Average Salary]],"")</f>
        <v/>
      </c>
      <c r="P39" s="10" t="str">
        <f>IFERROR(FemalePayGapsByOccupationalSeriesAndRacialEthnicGroup[[#This Row],[Black Female Employees]]/Q$318,"")</f>
        <v/>
      </c>
      <c r="Q39" s="8" t="s">
        <v>0</v>
      </c>
      <c r="R39" s="6" t="s">
        <v>0</v>
      </c>
      <c r="S39" s="52" t="str">
        <f>IFERROR(FemalePayGapsByOccupationalSeriesAndRacialEthnicGroup[[#This Row],[Black Female Avg Salary]]/FemalePayGapsByOccupationalSeriesAndRacialEthnicGroup[[#This Row],[White Male Average Salary]],"")</f>
        <v/>
      </c>
      <c r="T39" s="10" t="str">
        <f>IFERROR(FemalePayGapsByOccupationalSeriesAndRacialEthnicGroup[[#This Row],[Hispanic Latino Female Employees]]/U$318,"")</f>
        <v/>
      </c>
      <c r="U39" s="8" t="s">
        <v>0</v>
      </c>
      <c r="V39" s="6" t="s">
        <v>0</v>
      </c>
      <c r="W3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9" s="10" t="str">
        <f>IFERROR(FemalePayGapsByOccupationalSeriesAndRacialEthnicGroup[[#This Row],[Other Female Employees]]/Y$318,"")</f>
        <v/>
      </c>
      <c r="Y39" s="8" t="s">
        <v>0</v>
      </c>
      <c r="Z39" s="6" t="s">
        <v>0</v>
      </c>
      <c r="AA3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40" spans="1:27" ht="15.6" x14ac:dyDescent="0.3">
      <c r="A40" s="45" t="s">
        <v>51</v>
      </c>
      <c r="B40" s="38">
        <v>6087</v>
      </c>
      <c r="C40" s="39">
        <v>98291.769610261006</v>
      </c>
      <c r="D40" s="69">
        <f>IFERROR(FemalePayGapsByOccupationalSeriesAndRacialEthnicGroup[[#This Row],[White Female Employees]]/E$318,"")</f>
        <v>2.4414126677444369E-2</v>
      </c>
      <c r="E40" s="67">
        <v>11145</v>
      </c>
      <c r="F40" s="64">
        <v>96406.314901257007</v>
      </c>
      <c r="G40" s="72">
        <f>IFERROR(FemalePayGapsByOccupationalSeriesAndRacialEthnicGroup[[#This Row],[White Female Avg Salary]]/FemalePayGapsByOccupationalSeriesAndRacialEthnicGroup[[#This Row],[White Male Average Salary]],"")</f>
        <v>0.98081777633590217</v>
      </c>
      <c r="H40" s="10">
        <f>IFERROR(FemalePayGapsByOccupationalSeriesAndRacialEthnicGroup[[#This Row],[AIAN Female Employees]]/I$318,"")</f>
        <v>2.3100303951367782E-2</v>
      </c>
      <c r="I40">
        <v>380</v>
      </c>
      <c r="J40" s="6">
        <v>90012.081578947007</v>
      </c>
      <c r="K40" s="52">
        <f>IFERROR(FemalePayGapsByOccupationalSeriesAndRacialEthnicGroup[[#This Row],[AIAN Female Avg Salary]]/FemalePayGapsByOccupationalSeriesAndRacialEthnicGroup[[#This Row],[White Male Average Salary]],"")</f>
        <v>0.91576417777252372</v>
      </c>
      <c r="L40" s="10">
        <f>IFERROR(FemalePayGapsByOccupationalSeriesAndRacialEthnicGroup[[#This Row],[ANHPI Female Employees]]/M$318,"")</f>
        <v>1.5244330137947159E-2</v>
      </c>
      <c r="M40" s="8">
        <v>978</v>
      </c>
      <c r="N40" s="6">
        <v>97585.894683027</v>
      </c>
      <c r="O40" s="52">
        <f>IFERROR(FemalePayGapsByOccupationalSeriesAndRacialEthnicGroup[[#This Row],[ANHPI Female Avg Salary]]/FemalePayGapsByOccupationalSeriesAndRacialEthnicGroup[[#This Row],[White Male Average Salary]],"")</f>
        <v>0.99281857545109942</v>
      </c>
      <c r="P40" s="10">
        <f>IFERROR(FemalePayGapsByOccupationalSeriesAndRacialEthnicGroup[[#This Row],[Black Female Employees]]/Q$318,"")</f>
        <v>3.8509611957322436E-2</v>
      </c>
      <c r="Q40" s="8">
        <v>8103</v>
      </c>
      <c r="R40" s="6">
        <v>103583.822032852</v>
      </c>
      <c r="S40" s="52">
        <f>IFERROR(FemalePayGapsByOccupationalSeriesAndRacialEthnicGroup[[#This Row],[Black Female Avg Salary]]/FemalePayGapsByOccupationalSeriesAndRacialEthnicGroup[[#This Row],[White Male Average Salary]],"")</f>
        <v>1.0538402395599817</v>
      </c>
      <c r="T40" s="10">
        <f>IFERROR(FemalePayGapsByOccupationalSeriesAndRacialEthnicGroup[[#This Row],[Hispanic Latino Female Employees]]/U$318,"")</f>
        <v>2.9405355517670134E-2</v>
      </c>
      <c r="U40" s="8">
        <v>2294</v>
      </c>
      <c r="V40" s="6">
        <v>94025.101177496996</v>
      </c>
      <c r="W40" s="52">
        <f>IFERROR(FemalePayGapsByOccupationalSeriesAndRacialEthnicGroup[[#This Row],[Hispanic Latino Female Avg Salary]]/FemalePayGapsByOccupationalSeriesAndRacialEthnicGroup[[#This Row],[White Male Average Salary]],"")</f>
        <v>0.95659180367103092</v>
      </c>
      <c r="X40" s="10">
        <f>IFERROR(FemalePayGapsByOccupationalSeriesAndRacialEthnicGroup[[#This Row],[Other Female Employees]]/Y$318,"")</f>
        <v>3.9624667910236847E-2</v>
      </c>
      <c r="Y40" s="8">
        <v>701</v>
      </c>
      <c r="Z40" s="6">
        <v>95354.787446504997</v>
      </c>
      <c r="AA40" s="1">
        <f>IFERROR(FemalePayGapsByOccupationalSeriesAndRacialEthnicGroup[[#This Row],[Other Female Avg Salary]]/FemalePayGapsByOccupationalSeriesAndRacialEthnicGroup[[#This Row],[White Male Average Salary]],"")</f>
        <v>0.97011975493572344</v>
      </c>
    </row>
    <row r="41" spans="1:27" ht="15.6" x14ac:dyDescent="0.3">
      <c r="A41" s="46" t="s">
        <v>52</v>
      </c>
      <c r="B41" s="40">
        <v>1477</v>
      </c>
      <c r="C41" s="41">
        <v>50637.270508474998</v>
      </c>
      <c r="D41" s="70">
        <f>IFERROR(FemalePayGapsByOccupationalSeriesAndRacialEthnicGroup[[#This Row],[White Female Employees]]/E$318,"")</f>
        <v>4.9069218266016498E-3</v>
      </c>
      <c r="E41" s="16">
        <v>2240</v>
      </c>
      <c r="F41" s="17">
        <v>49672.756478998999</v>
      </c>
      <c r="G41" s="18">
        <f>IFERROR(FemalePayGapsByOccupationalSeriesAndRacialEthnicGroup[[#This Row],[White Female Avg Salary]]/FemalePayGapsByOccupationalSeriesAndRacialEthnicGroup[[#This Row],[White Male Average Salary]],"")</f>
        <v>0.98095248776660326</v>
      </c>
      <c r="H41" s="10">
        <f>IFERROR(FemalePayGapsByOccupationalSeriesAndRacialEthnicGroup[[#This Row],[AIAN Female Employees]]/I$318,"")</f>
        <v>7.1732522796352583E-3</v>
      </c>
      <c r="I41">
        <v>118</v>
      </c>
      <c r="J41" s="6">
        <v>50057.406779661003</v>
      </c>
      <c r="K41" s="52">
        <f>IFERROR(FemalePayGapsByOccupationalSeriesAndRacialEthnicGroup[[#This Row],[AIAN Female Avg Salary]]/FemalePayGapsByOccupationalSeriesAndRacialEthnicGroup[[#This Row],[White Male Average Salary]],"")</f>
        <v>0.98854867722941453</v>
      </c>
      <c r="L41" s="10">
        <f>IFERROR(FemalePayGapsByOccupationalSeriesAndRacialEthnicGroup[[#This Row],[ANHPI Female Employees]]/M$318,"")</f>
        <v>3.8812251578209025E-3</v>
      </c>
      <c r="M41" s="8">
        <v>249</v>
      </c>
      <c r="N41" s="6">
        <v>50426.188755019997</v>
      </c>
      <c r="O41" s="52">
        <f>IFERROR(FemalePayGapsByOccupationalSeriesAndRacialEthnicGroup[[#This Row],[ANHPI Female Avg Salary]]/FemalePayGapsByOccupationalSeriesAndRacialEthnicGroup[[#This Row],[White Male Average Salary]],"")</f>
        <v>0.99583149424652195</v>
      </c>
      <c r="P41" s="10">
        <f>IFERROR(FemalePayGapsByOccupationalSeriesAndRacialEthnicGroup[[#This Row],[Black Female Employees]]/Q$318,"")</f>
        <v>8.0792719150250703E-3</v>
      </c>
      <c r="Q41" s="8">
        <v>1700</v>
      </c>
      <c r="R41" s="6">
        <v>51535.318235293998</v>
      </c>
      <c r="S41" s="52">
        <f>IFERROR(FemalePayGapsByOccupationalSeriesAndRacialEthnicGroup[[#This Row],[Black Female Avg Salary]]/FemalePayGapsByOccupationalSeriesAndRacialEthnicGroup[[#This Row],[White Male Average Salary]],"")</f>
        <v>1.0177349157606885</v>
      </c>
      <c r="T41" s="10">
        <f>IFERROR(FemalePayGapsByOccupationalSeriesAndRacialEthnicGroup[[#This Row],[Hispanic Latino Female Employees]]/U$318,"")</f>
        <v>6.986015151320934E-3</v>
      </c>
      <c r="U41" s="8">
        <v>545</v>
      </c>
      <c r="V41" s="6">
        <v>50344.272058823997</v>
      </c>
      <c r="W41" s="52">
        <f>IFERROR(FemalePayGapsByOccupationalSeriesAndRacialEthnicGroup[[#This Row],[Hispanic Latino Female Avg Salary]]/FemalePayGapsByOccupationalSeriesAndRacialEthnicGroup[[#This Row],[White Male Average Salary]],"")</f>
        <v>0.99421377876988926</v>
      </c>
      <c r="X41" s="10">
        <f>IFERROR(FemalePayGapsByOccupationalSeriesAndRacialEthnicGroup[[#This Row],[Other Female Employees]]/Y$318,"")</f>
        <v>8.8745689898818616E-3</v>
      </c>
      <c r="Y41" s="8">
        <v>157</v>
      </c>
      <c r="Z41" s="6">
        <v>48532.611464968002</v>
      </c>
      <c r="AA41" s="1">
        <f>IFERROR(FemalePayGapsByOccupationalSeriesAndRacialEthnicGroup[[#This Row],[Other Female Avg Salary]]/FemalePayGapsByOccupationalSeriesAndRacialEthnicGroup[[#This Row],[White Male Average Salary]],"")</f>
        <v>0.95843656219276774</v>
      </c>
    </row>
    <row r="42" spans="1:27" ht="15.6" x14ac:dyDescent="0.3">
      <c r="A42" s="45" t="s">
        <v>53</v>
      </c>
      <c r="B42" s="38">
        <v>81</v>
      </c>
      <c r="C42" s="39">
        <v>142336.444444444</v>
      </c>
      <c r="D42" s="69">
        <f>IFERROR(FemalePayGapsByOccupationalSeriesAndRacialEthnicGroup[[#This Row],[White Female Employees]]/E$318,"")</f>
        <v>7.2289473338327882E-5</v>
      </c>
      <c r="E42" s="67">
        <v>33</v>
      </c>
      <c r="F42" s="64">
        <v>140273.96969696999</v>
      </c>
      <c r="G42" s="72">
        <f>IFERROR(FemalePayGapsByOccupationalSeriesAndRacialEthnicGroup[[#This Row],[White Female Avg Salary]]/FemalePayGapsByOccupationalSeriesAndRacialEthnicGroup[[#This Row],[White Male Average Salary]],"")</f>
        <v>0.98550986182404587</v>
      </c>
      <c r="H42" s="10" t="str">
        <f>IFERROR(FemalePayGapsByOccupationalSeriesAndRacialEthnicGroup[[#This Row],[AIAN Female Employees]]/I$318,"")</f>
        <v/>
      </c>
      <c r="I42" t="s">
        <v>0</v>
      </c>
      <c r="J42" s="6" t="s">
        <v>0</v>
      </c>
      <c r="K42" s="52" t="str">
        <f>IFERROR(FemalePayGapsByOccupationalSeriesAndRacialEthnicGroup[[#This Row],[AIAN Female Avg Salary]]/FemalePayGapsByOccupationalSeriesAndRacialEthnicGroup[[#This Row],[White Male Average Salary]],"")</f>
        <v/>
      </c>
      <c r="L42" s="10" t="str">
        <f>IFERROR(FemalePayGapsByOccupationalSeriesAndRacialEthnicGroup[[#This Row],[ANHPI Female Employees]]/M$318,"")</f>
        <v/>
      </c>
      <c r="M42" s="8" t="s">
        <v>0</v>
      </c>
      <c r="N42" s="6" t="s">
        <v>0</v>
      </c>
      <c r="O42" s="52" t="str">
        <f>IFERROR(FemalePayGapsByOccupationalSeriesAndRacialEthnicGroup[[#This Row],[ANHPI Female Avg Salary]]/FemalePayGapsByOccupationalSeriesAndRacialEthnicGroup[[#This Row],[White Male Average Salary]],"")</f>
        <v/>
      </c>
      <c r="P42" s="10" t="str">
        <f>IFERROR(FemalePayGapsByOccupationalSeriesAndRacialEthnicGroup[[#This Row],[Black Female Employees]]/Q$318,"")</f>
        <v/>
      </c>
      <c r="Q42" s="8" t="s">
        <v>0</v>
      </c>
      <c r="R42" s="6" t="s">
        <v>0</v>
      </c>
      <c r="S42" s="52" t="str">
        <f>IFERROR(FemalePayGapsByOccupationalSeriesAndRacialEthnicGroup[[#This Row],[Black Female Avg Salary]]/FemalePayGapsByOccupationalSeriesAndRacialEthnicGroup[[#This Row],[White Male Average Salary]],"")</f>
        <v/>
      </c>
      <c r="T42" s="10" t="str">
        <f>IFERROR(FemalePayGapsByOccupationalSeriesAndRacialEthnicGroup[[#This Row],[Hispanic Latino Female Employees]]/U$318,"")</f>
        <v/>
      </c>
      <c r="U42" s="8" t="s">
        <v>0</v>
      </c>
      <c r="V42" s="47" t="s">
        <v>0</v>
      </c>
      <c r="W4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42" s="10" t="str">
        <f>IFERROR(FemalePayGapsByOccupationalSeriesAndRacialEthnicGroup[[#This Row],[Other Female Employees]]/Y$318,"")</f>
        <v/>
      </c>
      <c r="Y42" s="8" t="s">
        <v>0</v>
      </c>
      <c r="Z42" s="6" t="s">
        <v>0</v>
      </c>
      <c r="AA4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43" spans="1:27" ht="31.2" x14ac:dyDescent="0.3">
      <c r="A43" s="46" t="s">
        <v>54</v>
      </c>
      <c r="B43" s="40">
        <v>57</v>
      </c>
      <c r="C43" s="41">
        <v>128828.26315789499</v>
      </c>
      <c r="D43" s="70">
        <f>IFERROR(FemalePayGapsByOccupationalSeriesAndRacialEthnicGroup[[#This Row],[White Female Employees]]/E$318,"")</f>
        <v>1.8181897839640042E-4</v>
      </c>
      <c r="E43" s="16">
        <v>83</v>
      </c>
      <c r="F43" s="17">
        <v>137414.96385542199</v>
      </c>
      <c r="G43" s="18">
        <f>IFERROR(FemalePayGapsByOccupationalSeriesAndRacialEthnicGroup[[#This Row],[White Female Avg Salary]]/FemalePayGapsByOccupationalSeriesAndRacialEthnicGroup[[#This Row],[White Male Average Salary]],"")</f>
        <v>1.0666523050691363</v>
      </c>
      <c r="H43" s="10" t="str">
        <f>IFERROR(FemalePayGapsByOccupationalSeriesAndRacialEthnicGroup[[#This Row],[AIAN Female Employees]]/I$318,"")</f>
        <v/>
      </c>
      <c r="I43" t="s">
        <v>0</v>
      </c>
      <c r="J43" s="6" t="s">
        <v>0</v>
      </c>
      <c r="K43" s="52" t="str">
        <f>IFERROR(FemalePayGapsByOccupationalSeriesAndRacialEthnicGroup[[#This Row],[AIAN Female Avg Salary]]/FemalePayGapsByOccupationalSeriesAndRacialEthnicGroup[[#This Row],[White Male Average Salary]],"")</f>
        <v/>
      </c>
      <c r="L43" s="10" t="str">
        <f>IFERROR(FemalePayGapsByOccupationalSeriesAndRacialEthnicGroup[[#This Row],[ANHPI Female Employees]]/M$318,"")</f>
        <v/>
      </c>
      <c r="M43" s="8" t="s">
        <v>0</v>
      </c>
      <c r="N43" s="6" t="s">
        <v>0</v>
      </c>
      <c r="O43" s="52" t="str">
        <f>IFERROR(FemalePayGapsByOccupationalSeriesAndRacialEthnicGroup[[#This Row],[ANHPI Female Avg Salary]]/FemalePayGapsByOccupationalSeriesAndRacialEthnicGroup[[#This Row],[White Male Average Salary]],"")</f>
        <v/>
      </c>
      <c r="P43" s="10" t="str">
        <f>IFERROR(FemalePayGapsByOccupationalSeriesAndRacialEthnicGroup[[#This Row],[Black Female Employees]]/Q$318,"")</f>
        <v/>
      </c>
      <c r="Q43" s="8" t="s">
        <v>0</v>
      </c>
      <c r="R43" s="6" t="s">
        <v>0</v>
      </c>
      <c r="S43" s="52" t="str">
        <f>IFERROR(FemalePayGapsByOccupationalSeriesAndRacialEthnicGroup[[#This Row],[Black Female Avg Salary]]/FemalePayGapsByOccupationalSeriesAndRacialEthnicGroup[[#This Row],[White Male Average Salary]],"")</f>
        <v/>
      </c>
      <c r="T43" s="10" t="str">
        <f>IFERROR(FemalePayGapsByOccupationalSeriesAndRacialEthnicGroup[[#This Row],[Hispanic Latino Female Employees]]/U$318,"")</f>
        <v/>
      </c>
      <c r="U43" s="8" t="s">
        <v>0</v>
      </c>
      <c r="V43" s="47" t="s">
        <v>0</v>
      </c>
      <c r="W4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43" s="10" t="str">
        <f>IFERROR(FemalePayGapsByOccupationalSeriesAndRacialEthnicGroup[[#This Row],[Other Female Employees]]/Y$318,"")</f>
        <v/>
      </c>
      <c r="Y43" s="8" t="s">
        <v>0</v>
      </c>
      <c r="Z43" s="6" t="s">
        <v>0</v>
      </c>
      <c r="AA4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44" spans="1:27" ht="15.6" x14ac:dyDescent="0.3">
      <c r="A44" s="45" t="s">
        <v>55</v>
      </c>
      <c r="B44" s="38">
        <v>302</v>
      </c>
      <c r="C44" s="39">
        <v>108381.19269103</v>
      </c>
      <c r="D44" s="69">
        <f>IFERROR(FemalePayGapsByOccupationalSeriesAndRacialEthnicGroup[[#This Row],[White Female Employees]]/E$318,"")</f>
        <v>1.0273867574447204E-3</v>
      </c>
      <c r="E44" s="67">
        <v>469</v>
      </c>
      <c r="F44" s="64">
        <v>106424.486140725</v>
      </c>
      <c r="G44" s="72">
        <f>IFERROR(FemalePayGapsByOccupationalSeriesAndRacialEthnicGroup[[#This Row],[White Female Avg Salary]]/FemalePayGapsByOccupationalSeriesAndRacialEthnicGroup[[#This Row],[White Male Average Salary]],"")</f>
        <v>0.98194606922362337</v>
      </c>
      <c r="H44" s="10" t="str">
        <f>IFERROR(FemalePayGapsByOccupationalSeriesAndRacialEthnicGroup[[#This Row],[AIAN Female Employees]]/I$318,"")</f>
        <v/>
      </c>
      <c r="I44" t="s">
        <v>0</v>
      </c>
      <c r="J44" s="6" t="s">
        <v>0</v>
      </c>
      <c r="K44" s="52" t="str">
        <f>IFERROR(FemalePayGapsByOccupationalSeriesAndRacialEthnicGroup[[#This Row],[AIAN Female Avg Salary]]/FemalePayGapsByOccupationalSeriesAndRacialEthnicGroup[[#This Row],[White Male Average Salary]],"")</f>
        <v/>
      </c>
      <c r="L44" s="10" t="str">
        <f>IFERROR(FemalePayGapsByOccupationalSeriesAndRacialEthnicGroup[[#This Row],[ANHPI Female Employees]]/M$318,"")</f>
        <v/>
      </c>
      <c r="M44" s="8" t="s">
        <v>0</v>
      </c>
      <c r="N44" s="6" t="s">
        <v>0</v>
      </c>
      <c r="O44" s="52" t="str">
        <f>IFERROR(FemalePayGapsByOccupationalSeriesAndRacialEthnicGroup[[#This Row],[ANHPI Female Avg Salary]]/FemalePayGapsByOccupationalSeriesAndRacialEthnicGroup[[#This Row],[White Male Average Salary]],"")</f>
        <v/>
      </c>
      <c r="P44" s="10">
        <f>IFERROR(FemalePayGapsByOccupationalSeriesAndRacialEthnicGroup[[#This Row],[Black Female Employees]]/Q$318,"")</f>
        <v>4.676472684932158E-3</v>
      </c>
      <c r="Q44" s="8">
        <v>984</v>
      </c>
      <c r="R44" s="6">
        <v>117120.381097561</v>
      </c>
      <c r="S44" s="52">
        <f>IFERROR(FemalePayGapsByOccupationalSeriesAndRacialEthnicGroup[[#This Row],[Black Female Avg Salary]]/FemalePayGapsByOccupationalSeriesAndRacialEthnicGroup[[#This Row],[White Male Average Salary]],"")</f>
        <v>1.0806338091466148</v>
      </c>
      <c r="T44" s="10">
        <f>IFERROR(FemalePayGapsByOccupationalSeriesAndRacialEthnicGroup[[#This Row],[Hispanic Latino Female Employees]]/U$318,"")</f>
        <v>1.9996667222129645E-3</v>
      </c>
      <c r="U44" s="8">
        <v>156</v>
      </c>
      <c r="V44" s="6">
        <v>108494.570512821</v>
      </c>
      <c r="W44" s="52">
        <f>IFERROR(FemalePayGapsByOccupationalSeriesAndRacialEthnicGroup[[#This Row],[Hispanic Latino Female Avg Salary]]/FemalePayGapsByOccupationalSeriesAndRacialEthnicGroup[[#This Row],[White Male Average Salary]],"")</f>
        <v>1.0010461023631121</v>
      </c>
      <c r="X44" s="10">
        <f>IFERROR(FemalePayGapsByOccupationalSeriesAndRacialEthnicGroup[[#This Row],[Other Female Employees]]/Y$318,"")</f>
        <v>5.3134362105025151E-3</v>
      </c>
      <c r="Y44" s="8">
        <v>94</v>
      </c>
      <c r="Z44" s="6">
        <v>111983.968085106</v>
      </c>
      <c r="AA44" s="1">
        <f>IFERROR(FemalePayGapsByOccupationalSeriesAndRacialEthnicGroup[[#This Row],[Other Female Avg Salary]]/FemalePayGapsByOccupationalSeriesAndRacialEthnicGroup[[#This Row],[White Male Average Salary]],"")</f>
        <v>1.0332417027772216</v>
      </c>
    </row>
    <row r="45" spans="1:27" ht="31.2" x14ac:dyDescent="0.3">
      <c r="A45" s="46" t="s">
        <v>56</v>
      </c>
      <c r="B45" s="40">
        <v>30149</v>
      </c>
      <c r="C45" s="41">
        <v>111301.747750739</v>
      </c>
      <c r="D45" s="70">
        <f>IFERROR(FemalePayGapsByOccupationalSeriesAndRacialEthnicGroup[[#This Row],[White Female Employees]]/E$318,"")</f>
        <v>5.4861138493487373E-2</v>
      </c>
      <c r="E45" s="16">
        <v>25044</v>
      </c>
      <c r="F45" s="17">
        <v>105072.66590718301</v>
      </c>
      <c r="G45" s="18">
        <f>IFERROR(FemalePayGapsByOccupationalSeriesAndRacialEthnicGroup[[#This Row],[White Female Avg Salary]]/FemalePayGapsByOccupationalSeriesAndRacialEthnicGroup[[#This Row],[White Male Average Salary]],"")</f>
        <v>0.94403428544980206</v>
      </c>
      <c r="H45" s="10">
        <f>IFERROR(FemalePayGapsByOccupationalSeriesAndRacialEthnicGroup[[#This Row],[AIAN Female Employees]]/I$318,"")</f>
        <v>4.2370820668693007E-2</v>
      </c>
      <c r="I45">
        <v>697</v>
      </c>
      <c r="J45" s="6">
        <v>92659.931133428996</v>
      </c>
      <c r="K45" s="52">
        <f>IFERROR(FemalePayGapsByOccupationalSeriesAndRacialEthnicGroup[[#This Row],[AIAN Female Avg Salary]]/FemalePayGapsByOccupationalSeriesAndRacialEthnicGroup[[#This Row],[White Male Average Salary]],"")</f>
        <v>0.83251101627749391</v>
      </c>
      <c r="L45" s="10">
        <f>IFERROR(FemalePayGapsByOccupationalSeriesAndRacialEthnicGroup[[#This Row],[ANHPI Female Employees]]/M$318,"")</f>
        <v>3.6209180890031951E-2</v>
      </c>
      <c r="M45" s="8">
        <v>2323</v>
      </c>
      <c r="N45" s="6">
        <v>109504.47157622701</v>
      </c>
      <c r="O45" s="52">
        <f>IFERROR(FemalePayGapsByOccupationalSeriesAndRacialEthnicGroup[[#This Row],[ANHPI Female Avg Salary]]/FemalePayGapsByOccupationalSeriesAndRacialEthnicGroup[[#This Row],[White Male Average Salary]],"")</f>
        <v>0.98385221965663106</v>
      </c>
      <c r="P45" s="10">
        <f>IFERROR(FemalePayGapsByOccupationalSeriesAndRacialEthnicGroup[[#This Row],[Black Female Employees]]/Q$318,"")</f>
        <v>6.521398189292589E-2</v>
      </c>
      <c r="Q45" s="8">
        <v>13722</v>
      </c>
      <c r="R45" s="6">
        <v>102763.044847955</v>
      </c>
      <c r="S45" s="52">
        <f>IFERROR(FemalePayGapsByOccupationalSeriesAndRacialEthnicGroup[[#This Row],[Black Female Avg Salary]]/FemalePayGapsByOccupationalSeriesAndRacialEthnicGroup[[#This Row],[White Male Average Salary]],"")</f>
        <v>0.92328329900167894</v>
      </c>
      <c r="T45" s="10">
        <f>IFERROR(FemalePayGapsByOccupationalSeriesAndRacialEthnicGroup[[#This Row],[Hispanic Latino Female Employees]]/U$318,"")</f>
        <v>5.5439478035711996E-2</v>
      </c>
      <c r="U45" s="8">
        <v>4325</v>
      </c>
      <c r="V45" s="6">
        <v>95832.842933148</v>
      </c>
      <c r="W45" s="52">
        <f>IFERROR(FemalePayGapsByOccupationalSeriesAndRacialEthnicGroup[[#This Row],[Hispanic Latino Female Avg Salary]]/FemalePayGapsByOccupationalSeriesAndRacialEthnicGroup[[#This Row],[White Male Average Salary]],"")</f>
        <v>0.86101831165999554</v>
      </c>
      <c r="X45" s="10">
        <f>IFERROR(FemalePayGapsByOccupationalSeriesAndRacialEthnicGroup[[#This Row],[Other Female Employees]]/Y$318,"")</f>
        <v>6.6474478548414442E-2</v>
      </c>
      <c r="Y45" s="8">
        <v>1176</v>
      </c>
      <c r="Z45" s="6">
        <v>98781.520442930007</v>
      </c>
      <c r="AA45" s="1">
        <f>IFERROR(FemalePayGapsByOccupationalSeriesAndRacialEthnicGroup[[#This Row],[Other Female Avg Salary]]/FemalePayGapsByOccupationalSeriesAndRacialEthnicGroup[[#This Row],[White Male Average Salary]],"")</f>
        <v>0.88751095503146882</v>
      </c>
    </row>
    <row r="46" spans="1:27" ht="15.6" x14ac:dyDescent="0.3">
      <c r="A46" s="45" t="s">
        <v>57</v>
      </c>
      <c r="B46" s="38">
        <v>5623</v>
      </c>
      <c r="C46" s="39">
        <v>52314.356723063</v>
      </c>
      <c r="D46" s="69">
        <f>IFERROR(FemalePayGapsByOccupationalSeriesAndRacialEthnicGroup[[#This Row],[White Female Employees]]/E$318,"")</f>
        <v>2.70888371909625E-2</v>
      </c>
      <c r="E46" s="67">
        <v>12366</v>
      </c>
      <c r="F46" s="64">
        <v>51378.768633163003</v>
      </c>
      <c r="G46" s="72">
        <f>IFERROR(FemalePayGapsByOccupationalSeriesAndRacialEthnicGroup[[#This Row],[White Female Avg Salary]]/FemalePayGapsByOccupationalSeriesAndRacialEthnicGroup[[#This Row],[White Male Average Salary]],"")</f>
        <v>0.98211603566392436</v>
      </c>
      <c r="H46" s="10">
        <f>IFERROR(FemalePayGapsByOccupationalSeriesAndRacialEthnicGroup[[#This Row],[AIAN Female Employees]]/I$318,"")</f>
        <v>4.3890577507598783E-2</v>
      </c>
      <c r="I46">
        <v>722</v>
      </c>
      <c r="J46" s="6">
        <v>51670.945983379999</v>
      </c>
      <c r="K46" s="52">
        <f>IFERROR(FemalePayGapsByOccupationalSeriesAndRacialEthnicGroup[[#This Row],[AIAN Female Avg Salary]]/FemalePayGapsByOccupationalSeriesAndRacialEthnicGroup[[#This Row],[White Male Average Salary]],"")</f>
        <v>0.98770106754654308</v>
      </c>
      <c r="L46" s="10">
        <f>IFERROR(FemalePayGapsByOccupationalSeriesAndRacialEthnicGroup[[#This Row],[ANHPI Female Employees]]/M$318,"")</f>
        <v>1.7675941080196399E-2</v>
      </c>
      <c r="M46" s="8">
        <v>1134</v>
      </c>
      <c r="N46" s="6">
        <v>53248.577601411002</v>
      </c>
      <c r="O46" s="52">
        <f>IFERROR(FemalePayGapsByOccupationalSeriesAndRacialEthnicGroup[[#This Row],[ANHPI Female Avg Salary]]/FemalePayGapsByOccupationalSeriesAndRacialEthnicGroup[[#This Row],[White Male Average Salary]],"")</f>
        <v>1.0178578297979175</v>
      </c>
      <c r="P46" s="10">
        <f>IFERROR(FemalePayGapsByOccupationalSeriesAndRacialEthnicGroup[[#This Row],[Black Female Employees]]/Q$318,"")</f>
        <v>3.2488178124183163E-2</v>
      </c>
      <c r="Q46" s="8">
        <v>6836</v>
      </c>
      <c r="R46" s="6">
        <v>53998.967921488002</v>
      </c>
      <c r="S46" s="52">
        <f>IFERROR(FemalePayGapsByOccupationalSeriesAndRacialEthnicGroup[[#This Row],[Black Female Avg Salary]]/FemalePayGapsByOccupationalSeriesAndRacialEthnicGroup[[#This Row],[White Male Average Salary]],"")</f>
        <v>1.0322016995705947</v>
      </c>
      <c r="T46" s="10">
        <f>IFERROR(FemalePayGapsByOccupationalSeriesAndRacialEthnicGroup[[#This Row],[Hispanic Latino Female Employees]]/U$318,"")</f>
        <v>3.4212246676835915E-2</v>
      </c>
      <c r="U46" s="8">
        <v>2669</v>
      </c>
      <c r="V46" s="6">
        <v>51320.446234545001</v>
      </c>
      <c r="W46" s="52">
        <f>IFERROR(FemalePayGapsByOccupationalSeriesAndRacialEthnicGroup[[#This Row],[Hispanic Latino Female Avg Salary]]/FemalePayGapsByOccupationalSeriesAndRacialEthnicGroup[[#This Row],[White Male Average Salary]],"")</f>
        <v>0.98100119067162628</v>
      </c>
      <c r="X46" s="10">
        <f>IFERROR(FemalePayGapsByOccupationalSeriesAndRacialEthnicGroup[[#This Row],[Other Female Employees]]/Y$318,"")</f>
        <v>3.2276298682946132E-2</v>
      </c>
      <c r="Y46" s="8">
        <v>571</v>
      </c>
      <c r="Z46" s="6">
        <v>51675.626970227997</v>
      </c>
      <c r="AA46" s="1">
        <f>IFERROR(FemalePayGapsByOccupationalSeriesAndRacialEthnicGroup[[#This Row],[Other Female Avg Salary]]/FemalePayGapsByOccupationalSeriesAndRacialEthnicGroup[[#This Row],[White Male Average Salary]],"")</f>
        <v>0.9877905456007755</v>
      </c>
    </row>
    <row r="47" spans="1:27" ht="15.6" x14ac:dyDescent="0.3">
      <c r="A47" s="46" t="s">
        <v>58</v>
      </c>
      <c r="B47" s="40">
        <v>46</v>
      </c>
      <c r="C47" s="41">
        <v>42584.760869564998</v>
      </c>
      <c r="D47" s="70">
        <f>IFERROR(FemalePayGapsByOccupationalSeriesAndRacialEthnicGroup[[#This Row],[White Female Employees]]/E$318,"")</f>
        <v>2.2124960021730654E-4</v>
      </c>
      <c r="E47" s="16">
        <v>101</v>
      </c>
      <c r="F47" s="17">
        <v>40193.980198019999</v>
      </c>
      <c r="G47" s="18">
        <f>IFERROR(FemalePayGapsByOccupationalSeriesAndRacialEthnicGroup[[#This Row],[White Female Avg Salary]]/FemalePayGapsByOccupationalSeriesAndRacialEthnicGroup[[#This Row],[White Male Average Salary]],"")</f>
        <v>0.94385830464405229</v>
      </c>
      <c r="H47" s="10" t="str">
        <f>IFERROR(FemalePayGapsByOccupationalSeriesAndRacialEthnicGroup[[#This Row],[AIAN Female Employees]]/I$318,"")</f>
        <v/>
      </c>
      <c r="I47" t="s">
        <v>0</v>
      </c>
      <c r="J47" s="6" t="s">
        <v>0</v>
      </c>
      <c r="K47" s="52" t="str">
        <f>IFERROR(FemalePayGapsByOccupationalSeriesAndRacialEthnicGroup[[#This Row],[AIAN Female Avg Salary]]/FemalePayGapsByOccupationalSeriesAndRacialEthnicGroup[[#This Row],[White Male Average Salary]],"")</f>
        <v/>
      </c>
      <c r="L47" s="10" t="str">
        <f>IFERROR(FemalePayGapsByOccupationalSeriesAndRacialEthnicGroup[[#This Row],[ANHPI Female Employees]]/M$318,"")</f>
        <v/>
      </c>
      <c r="M47" s="8" t="s">
        <v>0</v>
      </c>
      <c r="N47" s="6" t="s">
        <v>0</v>
      </c>
      <c r="O47" s="52" t="str">
        <f>IFERROR(FemalePayGapsByOccupationalSeriesAndRacialEthnicGroup[[#This Row],[ANHPI Female Avg Salary]]/FemalePayGapsByOccupationalSeriesAndRacialEthnicGroup[[#This Row],[White Male Average Salary]],"")</f>
        <v/>
      </c>
      <c r="P47" s="10">
        <f>IFERROR(FemalePayGapsByOccupationalSeriesAndRacialEthnicGroup[[#This Row],[Black Female Employees]]/Q$318,"")</f>
        <v>4.2297364731601832E-4</v>
      </c>
      <c r="Q47" s="8">
        <v>89</v>
      </c>
      <c r="R47" s="6">
        <v>40388.617977528003</v>
      </c>
      <c r="S47" s="52">
        <f>IFERROR(FemalePayGapsByOccupationalSeriesAndRacialEthnicGroup[[#This Row],[Black Female Avg Salary]]/FemalePayGapsByOccupationalSeriesAndRacialEthnicGroup[[#This Row],[White Male Average Salary]],"")</f>
        <v>0.94842890162601423</v>
      </c>
      <c r="T47" s="10" t="str">
        <f>IFERROR(FemalePayGapsByOccupationalSeriesAndRacialEthnicGroup[[#This Row],[Hispanic Latino Female Employees]]/U$318,"")</f>
        <v/>
      </c>
      <c r="U47" s="8" t="s">
        <v>0</v>
      </c>
      <c r="V47" s="6" t="s">
        <v>0</v>
      </c>
      <c r="W4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47" s="10" t="str">
        <f>IFERROR(FemalePayGapsByOccupationalSeriesAndRacialEthnicGroup[[#This Row],[Other Female Employees]]/Y$318,"")</f>
        <v/>
      </c>
      <c r="Y47" s="8" t="s">
        <v>0</v>
      </c>
      <c r="Z47" s="6" t="s">
        <v>0</v>
      </c>
      <c r="AA4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48" spans="1:27" ht="15.6" x14ac:dyDescent="0.3">
      <c r="A48" s="45" t="s">
        <v>59</v>
      </c>
      <c r="B48" s="38">
        <v>502</v>
      </c>
      <c r="C48" s="39">
        <v>43442.764940239002</v>
      </c>
      <c r="D48" s="69">
        <f>IFERROR(FemalePayGapsByOccupationalSeriesAndRacialEthnicGroup[[#This Row],[White Female Employees]]/E$318,"")</f>
        <v>1.0821515099737567E-3</v>
      </c>
      <c r="E48" s="67">
        <v>494</v>
      </c>
      <c r="F48" s="64">
        <v>42521.914285714003</v>
      </c>
      <c r="G48" s="72">
        <f>IFERROR(FemalePayGapsByOccupationalSeriesAndRacialEthnicGroup[[#This Row],[White Female Avg Salary]]/FemalePayGapsByOccupationalSeriesAndRacialEthnicGroup[[#This Row],[White Male Average Salary]],"")</f>
        <v>0.97880312968588112</v>
      </c>
      <c r="H48" s="10" t="str">
        <f>IFERROR(FemalePayGapsByOccupationalSeriesAndRacialEthnicGroup[[#This Row],[AIAN Female Employees]]/I$318,"")</f>
        <v/>
      </c>
      <c r="I48" t="s">
        <v>0</v>
      </c>
      <c r="J48" s="6" t="s">
        <v>0</v>
      </c>
      <c r="K48" s="52" t="str">
        <f>IFERROR(FemalePayGapsByOccupationalSeriesAndRacialEthnicGroup[[#This Row],[AIAN Female Avg Salary]]/FemalePayGapsByOccupationalSeriesAndRacialEthnicGroup[[#This Row],[White Male Average Salary]],"")</f>
        <v/>
      </c>
      <c r="L48" s="10">
        <f>IFERROR(FemalePayGapsByOccupationalSeriesAndRacialEthnicGroup[[#This Row],[ANHPI Female Employees]]/M$318,"")</f>
        <v>6.3907723482191565E-4</v>
      </c>
      <c r="M48" s="8">
        <v>41</v>
      </c>
      <c r="N48" s="6">
        <v>43610.292682927</v>
      </c>
      <c r="O48" s="52">
        <f>IFERROR(FemalePayGapsByOccupationalSeriesAndRacialEthnicGroup[[#This Row],[ANHPI Female Avg Salary]]/FemalePayGapsByOccupationalSeriesAndRacialEthnicGroup[[#This Row],[White Male Average Salary]],"")</f>
        <v>1.0038562863786054</v>
      </c>
      <c r="P48" s="10">
        <f>IFERROR(FemalePayGapsByOccupationalSeriesAndRacialEthnicGroup[[#This Row],[Black Female Employees]]/Q$318,"")</f>
        <v>1.8344699759998099E-3</v>
      </c>
      <c r="Q48" s="8">
        <v>386</v>
      </c>
      <c r="R48" s="6">
        <v>45112.347150258996</v>
      </c>
      <c r="S48" s="52">
        <f>IFERROR(FemalePayGapsByOccupationalSeriesAndRacialEthnicGroup[[#This Row],[Black Female Avg Salary]]/FemalePayGapsByOccupationalSeriesAndRacialEthnicGroup[[#This Row],[White Male Average Salary]],"")</f>
        <v>1.0384317667698342</v>
      </c>
      <c r="T48" s="10">
        <f>IFERROR(FemalePayGapsByOccupationalSeriesAndRacialEthnicGroup[[#This Row],[Hispanic Latino Female Employees]]/U$318,"")</f>
        <v>9.9983336110648227E-4</v>
      </c>
      <c r="U48" s="8">
        <v>78</v>
      </c>
      <c r="V48" s="6">
        <v>41917.217948717996</v>
      </c>
      <c r="W48" s="52">
        <f>IFERROR(FemalePayGapsByOccupationalSeriesAndRacialEthnicGroup[[#This Row],[Hispanic Latino Female Avg Salary]]/FemalePayGapsByOccupationalSeriesAndRacialEthnicGroup[[#This Row],[White Male Average Salary]],"")</f>
        <v>0.96488375006472105</v>
      </c>
      <c r="X48" s="10" t="str">
        <f>IFERROR(FemalePayGapsByOccupationalSeriesAndRacialEthnicGroup[[#This Row],[Other Female Employees]]/Y$318,"")</f>
        <v/>
      </c>
      <c r="Y48" s="8" t="s">
        <v>0</v>
      </c>
      <c r="Z48" s="6" t="s">
        <v>0</v>
      </c>
      <c r="AA4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49" spans="1:27" ht="15.6" x14ac:dyDescent="0.3">
      <c r="A49" s="46" t="s">
        <v>60</v>
      </c>
      <c r="B49" s="40">
        <v>540</v>
      </c>
      <c r="C49" s="41">
        <v>106806.837037037</v>
      </c>
      <c r="D49" s="70">
        <f>IFERROR(FemalePayGapsByOccupationalSeriesAndRacialEthnicGroup[[#This Row],[White Female Employees]]/E$318,"")</f>
        <v>1.851048635481426E-3</v>
      </c>
      <c r="E49" s="16">
        <v>845</v>
      </c>
      <c r="F49" s="17">
        <v>99707.130177515006</v>
      </c>
      <c r="G49" s="18">
        <f>IFERROR(FemalePayGapsByOccupationalSeriesAndRacialEthnicGroup[[#This Row],[White Female Avg Salary]]/FemalePayGapsByOccupationalSeriesAndRacialEthnicGroup[[#This Row],[White Male Average Salary]],"")</f>
        <v>0.93352759938897867</v>
      </c>
      <c r="H49" s="10" t="str">
        <f>IFERROR(FemalePayGapsByOccupationalSeriesAndRacialEthnicGroup[[#This Row],[AIAN Female Employees]]/I$318,"")</f>
        <v/>
      </c>
      <c r="I49" t="s">
        <v>0</v>
      </c>
      <c r="J49" s="6" t="s">
        <v>0</v>
      </c>
      <c r="K49" s="52" t="str">
        <f>IFERROR(FemalePayGapsByOccupationalSeriesAndRacialEthnicGroup[[#This Row],[AIAN Female Avg Salary]]/FemalePayGapsByOccupationalSeriesAndRacialEthnicGroup[[#This Row],[White Male Average Salary]],"")</f>
        <v/>
      </c>
      <c r="L49" s="10" t="str">
        <f>IFERROR(FemalePayGapsByOccupationalSeriesAndRacialEthnicGroup[[#This Row],[ANHPI Female Employees]]/M$318,"")</f>
        <v/>
      </c>
      <c r="M49" s="8" t="s">
        <v>0</v>
      </c>
      <c r="N49" s="6" t="s">
        <v>0</v>
      </c>
      <c r="O49" s="52" t="str">
        <f>IFERROR(FemalePayGapsByOccupationalSeriesAndRacialEthnicGroup[[#This Row],[ANHPI Female Avg Salary]]/FemalePayGapsByOccupationalSeriesAndRacialEthnicGroup[[#This Row],[White Male Average Salary]],"")</f>
        <v/>
      </c>
      <c r="P49" s="10">
        <f>IFERROR(FemalePayGapsByOccupationalSeriesAndRacialEthnicGroup[[#This Row],[Black Female Employees]]/Q$318,"")</f>
        <v>3.150916046859777E-3</v>
      </c>
      <c r="Q49" s="8">
        <v>663</v>
      </c>
      <c r="R49" s="6">
        <v>109074.77978883901</v>
      </c>
      <c r="S49" s="52">
        <f>IFERROR(FemalePayGapsByOccupationalSeriesAndRacialEthnicGroup[[#This Row],[Black Female Avg Salary]]/FemalePayGapsByOccupationalSeriesAndRacialEthnicGroup[[#This Row],[White Male Average Salary]],"")</f>
        <v>1.0212340596793028</v>
      </c>
      <c r="T49" s="10">
        <f>IFERROR(FemalePayGapsByOccupationalSeriesAndRacialEthnicGroup[[#This Row],[Hispanic Latino Female Employees]]/U$318,"")</f>
        <v>1.3843846538397447E-3</v>
      </c>
      <c r="U49" s="8">
        <v>108</v>
      </c>
      <c r="V49" s="6">
        <v>98058.870370370001</v>
      </c>
      <c r="W49" s="52">
        <f>IFERROR(FemalePayGapsByOccupationalSeriesAndRacialEthnicGroup[[#This Row],[Hispanic Latino Female Avg Salary]]/FemalePayGapsByOccupationalSeriesAndRacialEthnicGroup[[#This Row],[White Male Average Salary]],"")</f>
        <v>0.91809544305077118</v>
      </c>
      <c r="X49" s="10" t="str">
        <f>IFERROR(FemalePayGapsByOccupationalSeriesAndRacialEthnicGroup[[#This Row],[Other Female Employees]]/Y$318,"")</f>
        <v/>
      </c>
      <c r="Y49" s="8" t="s">
        <v>0</v>
      </c>
      <c r="Z49" s="6" t="s">
        <v>0</v>
      </c>
      <c r="AA4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50" spans="1:27" ht="15.6" x14ac:dyDescent="0.3">
      <c r="A50" s="45" t="s">
        <v>61</v>
      </c>
      <c r="B50" s="38">
        <v>226</v>
      </c>
      <c r="C50" s="39">
        <v>100789.349557522</v>
      </c>
      <c r="D50" s="69">
        <f>IFERROR(FemalePayGapsByOccupationalSeriesAndRacialEthnicGroup[[#This Row],[White Female Employees]]/E$318,"")</f>
        <v>6.7251116105656542E-4</v>
      </c>
      <c r="E50" s="67">
        <v>307</v>
      </c>
      <c r="F50" s="64">
        <v>95937.602605862994</v>
      </c>
      <c r="G50" s="72">
        <f>IFERROR(FemalePayGapsByOccupationalSeriesAndRacialEthnicGroup[[#This Row],[White Female Avg Salary]]/FemalePayGapsByOccupationalSeriesAndRacialEthnicGroup[[#This Row],[White Male Average Salary]],"")</f>
        <v>0.9518625035982593</v>
      </c>
      <c r="H50" s="10" t="str">
        <f>IFERROR(FemalePayGapsByOccupationalSeriesAndRacialEthnicGroup[[#This Row],[AIAN Female Employees]]/I$318,"")</f>
        <v/>
      </c>
      <c r="I50" t="s">
        <v>0</v>
      </c>
      <c r="J50" s="6" t="s">
        <v>0</v>
      </c>
      <c r="K50" s="52" t="str">
        <f>IFERROR(FemalePayGapsByOccupationalSeriesAndRacialEthnicGroup[[#This Row],[AIAN Female Avg Salary]]/FemalePayGapsByOccupationalSeriesAndRacialEthnicGroup[[#This Row],[White Male Average Salary]],"")</f>
        <v/>
      </c>
      <c r="L50" s="10" t="str">
        <f>IFERROR(FemalePayGapsByOccupationalSeriesAndRacialEthnicGroup[[#This Row],[ANHPI Female Employees]]/M$318,"")</f>
        <v/>
      </c>
      <c r="M50" s="8" t="s">
        <v>0</v>
      </c>
      <c r="N50" s="6" t="s">
        <v>0</v>
      </c>
      <c r="O50" s="52" t="str">
        <f>IFERROR(FemalePayGapsByOccupationalSeriesAndRacialEthnicGroup[[#This Row],[ANHPI Female Avg Salary]]/FemalePayGapsByOccupationalSeriesAndRacialEthnicGroup[[#This Row],[White Male Average Salary]],"")</f>
        <v/>
      </c>
      <c r="P50" s="10">
        <f>IFERROR(FemalePayGapsByOccupationalSeriesAndRacialEthnicGroup[[#This Row],[Black Female Employees]]/Q$318,"")</f>
        <v>1.2831784806216287E-3</v>
      </c>
      <c r="Q50" s="8">
        <v>270</v>
      </c>
      <c r="R50" s="6">
        <v>104208.507407407</v>
      </c>
      <c r="S50" s="52">
        <f>IFERROR(FemalePayGapsByOccupationalSeriesAndRacialEthnicGroup[[#This Row],[Black Female Avg Salary]]/FemalePayGapsByOccupationalSeriesAndRacialEthnicGroup[[#This Row],[White Male Average Salary]],"")</f>
        <v>1.0339238011247769</v>
      </c>
      <c r="T50" s="10" t="str">
        <f>IFERROR(FemalePayGapsByOccupationalSeriesAndRacialEthnicGroup[[#This Row],[Hispanic Latino Female Employees]]/U$318,"")</f>
        <v/>
      </c>
      <c r="U50" s="8" t="s">
        <v>0</v>
      </c>
      <c r="V50" s="6" t="s">
        <v>0</v>
      </c>
      <c r="W5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50" s="10" t="str">
        <f>IFERROR(FemalePayGapsByOccupationalSeriesAndRacialEthnicGroup[[#This Row],[Other Female Employees]]/Y$318,"")</f>
        <v/>
      </c>
      <c r="Y50" s="8" t="s">
        <v>0</v>
      </c>
      <c r="Z50" s="6" t="s">
        <v>0</v>
      </c>
      <c r="AA5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51" spans="1:27" ht="15.6" x14ac:dyDescent="0.3">
      <c r="A51" s="46" t="s">
        <v>62</v>
      </c>
      <c r="B51" s="40">
        <v>469</v>
      </c>
      <c r="C51" s="41">
        <v>53380.829424306998</v>
      </c>
      <c r="D51" s="70">
        <f>IFERROR(FemalePayGapsByOccupationalSeriesAndRacialEthnicGroup[[#This Row],[White Female Employees]]/E$318,"")</f>
        <v>8.527967263821528E-3</v>
      </c>
      <c r="E51" s="16">
        <v>3893</v>
      </c>
      <c r="F51" s="17">
        <v>56368.828269824997</v>
      </c>
      <c r="G51" s="18">
        <f>IFERROR(FemalePayGapsByOccupationalSeriesAndRacialEthnicGroup[[#This Row],[White Female Avg Salary]]/FemalePayGapsByOccupationalSeriesAndRacialEthnicGroup[[#This Row],[White Male Average Salary]],"")</f>
        <v>1.0559751296063116</v>
      </c>
      <c r="H51" s="10">
        <f>IFERROR(FemalePayGapsByOccupationalSeriesAndRacialEthnicGroup[[#This Row],[AIAN Female Employees]]/I$318,"")</f>
        <v>1.7568389057750759E-2</v>
      </c>
      <c r="I51">
        <v>289</v>
      </c>
      <c r="J51" s="6">
        <v>50905.397923875003</v>
      </c>
      <c r="K51" s="52">
        <f>IFERROR(FemalePayGapsByOccupationalSeriesAndRacialEthnicGroup[[#This Row],[AIAN Female Avg Salary]]/FemalePayGapsByOccupationalSeriesAndRacialEthnicGroup[[#This Row],[White Male Average Salary]],"")</f>
        <v>0.95362695695948096</v>
      </c>
      <c r="L51" s="10">
        <f>IFERROR(FemalePayGapsByOccupationalSeriesAndRacialEthnicGroup[[#This Row],[ANHPI Female Employees]]/M$318,"")</f>
        <v>5.6114098667290153E-3</v>
      </c>
      <c r="M51" s="8">
        <v>360</v>
      </c>
      <c r="N51" s="6">
        <v>58154.530555555997</v>
      </c>
      <c r="O51" s="52">
        <f>IFERROR(FemalePayGapsByOccupationalSeriesAndRacialEthnicGroup[[#This Row],[ANHPI Female Avg Salary]]/FemalePayGapsByOccupationalSeriesAndRacialEthnicGroup[[#This Row],[White Male Average Salary]],"")</f>
        <v>1.0894272566149992</v>
      </c>
      <c r="P51" s="10">
        <f>IFERROR(FemalePayGapsByOccupationalSeriesAndRacialEthnicGroup[[#This Row],[Black Female Employees]]/Q$318,"")</f>
        <v>1.0241665280517074E-2</v>
      </c>
      <c r="Q51" s="8">
        <v>2155</v>
      </c>
      <c r="R51" s="6">
        <v>61145.744878956997</v>
      </c>
      <c r="S51" s="52">
        <f>IFERROR(FemalePayGapsByOccupationalSeriesAndRacialEthnicGroup[[#This Row],[Black Female Avg Salary]]/FemalePayGapsByOccupationalSeriesAndRacialEthnicGroup[[#This Row],[White Male Average Salary]],"")</f>
        <v>1.1454626227878399</v>
      </c>
      <c r="T51" s="10">
        <f>IFERROR(FemalePayGapsByOccupationalSeriesAndRacialEthnicGroup[[#This Row],[Hispanic Latino Female Employees]]/U$318,"")</f>
        <v>1.0254701139553664E-2</v>
      </c>
      <c r="U51" s="8">
        <v>800</v>
      </c>
      <c r="V51" s="6">
        <v>57300.166458072999</v>
      </c>
      <c r="W51" s="52">
        <f>IFERROR(FemalePayGapsByOccupationalSeriesAndRacialEthnicGroup[[#This Row],[Hispanic Latino Female Avg Salary]]/FemalePayGapsByOccupationalSeriesAndRacialEthnicGroup[[#This Row],[White Male Average Salary]],"")</f>
        <v>1.0734221831326833</v>
      </c>
      <c r="X51" s="10">
        <f>IFERROR(FemalePayGapsByOccupationalSeriesAndRacialEthnicGroup[[#This Row],[Other Female Employees]]/Y$318,"")</f>
        <v>1.1192131592335086E-2</v>
      </c>
      <c r="Y51" s="8">
        <v>198</v>
      </c>
      <c r="Z51" s="6">
        <v>56082.393939394002</v>
      </c>
      <c r="AA51" s="1">
        <f>IFERROR(FemalePayGapsByOccupationalSeriesAndRacialEthnicGroup[[#This Row],[Other Female Avg Salary]]/FemalePayGapsByOccupationalSeriesAndRacialEthnicGroup[[#This Row],[White Male Average Salary]],"")</f>
        <v>1.0506092644910618</v>
      </c>
    </row>
    <row r="52" spans="1:27" ht="15.6" x14ac:dyDescent="0.3">
      <c r="A52" s="45" t="s">
        <v>63</v>
      </c>
      <c r="B52" s="38">
        <v>171</v>
      </c>
      <c r="C52" s="39">
        <v>48568.323529412002</v>
      </c>
      <c r="D52" s="69">
        <f>IFERROR(FemalePayGapsByOccupationalSeriesAndRacialEthnicGroup[[#This Row],[White Female Employees]]/E$318,"")</f>
        <v>1.0624361990633038E-3</v>
      </c>
      <c r="E52" s="67">
        <v>485</v>
      </c>
      <c r="F52" s="64">
        <v>47847.097107438</v>
      </c>
      <c r="G52" s="72">
        <f>IFERROR(FemalePayGapsByOccupationalSeriesAndRacialEthnicGroup[[#This Row],[White Female Avg Salary]]/FemalePayGapsByOccupationalSeriesAndRacialEthnicGroup[[#This Row],[White Male Average Salary]],"")</f>
        <v>0.98515027142048162</v>
      </c>
      <c r="H52" s="10" t="str">
        <f>IFERROR(FemalePayGapsByOccupationalSeriesAndRacialEthnicGroup[[#This Row],[AIAN Female Employees]]/I$318,"")</f>
        <v/>
      </c>
      <c r="I52" t="s">
        <v>0</v>
      </c>
      <c r="J52" s="6" t="s">
        <v>0</v>
      </c>
      <c r="K52" s="52" t="str">
        <f>IFERROR(FemalePayGapsByOccupationalSeriesAndRacialEthnicGroup[[#This Row],[AIAN Female Avg Salary]]/FemalePayGapsByOccupationalSeriesAndRacialEthnicGroup[[#This Row],[White Male Average Salary]],"")</f>
        <v/>
      </c>
      <c r="L52" s="10" t="str">
        <f>IFERROR(FemalePayGapsByOccupationalSeriesAndRacialEthnicGroup[[#This Row],[ANHPI Female Employees]]/M$318,"")</f>
        <v/>
      </c>
      <c r="M52" s="8" t="s">
        <v>0</v>
      </c>
      <c r="N52" s="6" t="s">
        <v>0</v>
      </c>
      <c r="O52" s="52" t="str">
        <f>IFERROR(FemalePayGapsByOccupationalSeriesAndRacialEthnicGroup[[#This Row],[ANHPI Female Avg Salary]]/FemalePayGapsByOccupationalSeriesAndRacialEthnicGroup[[#This Row],[White Male Average Salary]],"")</f>
        <v/>
      </c>
      <c r="P52" s="10">
        <f>IFERROR(FemalePayGapsByOccupationalSeriesAndRacialEthnicGroup[[#This Row],[Black Female Employees]]/Q$318,"")</f>
        <v>1.4590214575957037E-3</v>
      </c>
      <c r="Q52" s="8">
        <v>307</v>
      </c>
      <c r="R52" s="6">
        <v>47958.371335504999</v>
      </c>
      <c r="S52" s="52">
        <f>IFERROR(FemalePayGapsByOccupationalSeriesAndRacialEthnicGroup[[#This Row],[Black Female Avg Salary]]/FemalePayGapsByOccupationalSeriesAndRacialEthnicGroup[[#This Row],[White Male Average Salary]],"")</f>
        <v>0.98744135787314902</v>
      </c>
      <c r="T52" s="10">
        <f>IFERROR(FemalePayGapsByOccupationalSeriesAndRacialEthnicGroup[[#This Row],[Hispanic Latino Female Employees]]/U$318,"")</f>
        <v>1.4997500416597234E-3</v>
      </c>
      <c r="U52" s="8">
        <v>117</v>
      </c>
      <c r="V52" s="6">
        <v>47774.179487178997</v>
      </c>
      <c r="W52" s="52">
        <f>IFERROR(FemalePayGapsByOccupationalSeriesAndRacialEthnicGroup[[#This Row],[Hispanic Latino Female Avg Salary]]/FemalePayGapsByOccupationalSeriesAndRacialEthnicGroup[[#This Row],[White Male Average Salary]],"")</f>
        <v>0.98364893032076584</v>
      </c>
      <c r="X52" s="10" t="str">
        <f>IFERROR(FemalePayGapsByOccupationalSeriesAndRacialEthnicGroup[[#This Row],[Other Female Employees]]/Y$318,"")</f>
        <v/>
      </c>
      <c r="Y52" s="8" t="s">
        <v>0</v>
      </c>
      <c r="Z52" s="6" t="s">
        <v>0</v>
      </c>
      <c r="AA5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53" spans="1:27" ht="15.6" x14ac:dyDescent="0.3">
      <c r="A53" s="46" t="s">
        <v>64</v>
      </c>
      <c r="B53" s="40">
        <v>489</v>
      </c>
      <c r="C53" s="41">
        <v>62172.768442622997</v>
      </c>
      <c r="D53" s="70">
        <f>IFERROR(FemalePayGapsByOccupationalSeriesAndRacialEthnicGroup[[#This Row],[White Female Employees]]/E$318,"")</f>
        <v>4.1621211922067566E-4</v>
      </c>
      <c r="E53" s="16">
        <v>190</v>
      </c>
      <c r="F53" s="17">
        <v>63810.783068782999</v>
      </c>
      <c r="G53" s="18">
        <f>IFERROR(FemalePayGapsByOccupationalSeriesAndRacialEthnicGroup[[#This Row],[White Female Avg Salary]]/FemalePayGapsByOccupationalSeriesAndRacialEthnicGroup[[#This Row],[White Male Average Salary]],"")</f>
        <v>1.0263461748156135</v>
      </c>
      <c r="H53" s="10" t="str">
        <f>IFERROR(FemalePayGapsByOccupationalSeriesAndRacialEthnicGroup[[#This Row],[AIAN Female Employees]]/I$318,"")</f>
        <v/>
      </c>
      <c r="I53" t="s">
        <v>0</v>
      </c>
      <c r="J53" s="6" t="s">
        <v>0</v>
      </c>
      <c r="K53" s="52" t="str">
        <f>IFERROR(FemalePayGapsByOccupationalSeriesAndRacialEthnicGroup[[#This Row],[AIAN Female Avg Salary]]/FemalePayGapsByOccupationalSeriesAndRacialEthnicGroup[[#This Row],[White Male Average Salary]],"")</f>
        <v/>
      </c>
      <c r="L53" s="10" t="str">
        <f>IFERROR(FemalePayGapsByOccupationalSeriesAndRacialEthnicGroup[[#This Row],[ANHPI Female Employees]]/M$318,"")</f>
        <v/>
      </c>
      <c r="M53" s="8" t="s">
        <v>0</v>
      </c>
      <c r="N53" s="6" t="s">
        <v>0</v>
      </c>
      <c r="O53" s="52" t="str">
        <f>IFERROR(FemalePayGapsByOccupationalSeriesAndRacialEthnicGroup[[#This Row],[ANHPI Female Avg Salary]]/FemalePayGapsByOccupationalSeriesAndRacialEthnicGroup[[#This Row],[White Male Average Salary]],"")</f>
        <v/>
      </c>
      <c r="P53" s="10">
        <f>IFERROR(FemalePayGapsByOccupationalSeriesAndRacialEthnicGroup[[#This Row],[Black Female Employees]]/Q$318,"")</f>
        <v>5.7030154694294607E-4</v>
      </c>
      <c r="Q53" s="8">
        <v>120</v>
      </c>
      <c r="R53" s="6">
        <v>64585.408333332998</v>
      </c>
      <c r="S53" s="52">
        <f>IFERROR(FemalePayGapsByOccupationalSeriesAndRacialEthnicGroup[[#This Row],[Black Female Avg Salary]]/FemalePayGapsByOccupationalSeriesAndRacialEthnicGroup[[#This Row],[White Male Average Salary]],"")</f>
        <v>1.0388054119374874</v>
      </c>
      <c r="T53" s="10">
        <f>IFERROR(FemalePayGapsByOccupationalSeriesAndRacialEthnicGroup[[#This Row],[Hispanic Latino Female Employees]]/U$318,"")</f>
        <v>4.486431748554728E-4</v>
      </c>
      <c r="U53" s="8">
        <v>35</v>
      </c>
      <c r="V53" s="6">
        <v>61959.542857143002</v>
      </c>
      <c r="W53" s="52">
        <f>IFERROR(FemalePayGapsByOccupationalSeriesAndRacialEthnicGroup[[#This Row],[Hispanic Latino Female Avg Salary]]/FemalePayGapsByOccupationalSeriesAndRacialEthnicGroup[[#This Row],[White Male Average Salary]],"")</f>
        <v>0.99657043443904592</v>
      </c>
      <c r="X53" s="10" t="str">
        <f>IFERROR(FemalePayGapsByOccupationalSeriesAndRacialEthnicGroup[[#This Row],[Other Female Employees]]/Y$318,"")</f>
        <v/>
      </c>
      <c r="Y53" s="8" t="s">
        <v>0</v>
      </c>
      <c r="Z53" s="6" t="s">
        <v>0</v>
      </c>
      <c r="AA5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54" spans="1:27" ht="15.6" x14ac:dyDescent="0.3">
      <c r="A54" s="45" t="s">
        <v>65</v>
      </c>
      <c r="B54" s="38">
        <v>8031</v>
      </c>
      <c r="C54" s="39">
        <v>153553.82611949599</v>
      </c>
      <c r="D54" s="69">
        <f>IFERROR(FemalePayGapsByOccupationalSeriesAndRacialEthnicGroup[[#This Row],[White Female Employees]]/E$318,"")</f>
        <v>9.4940174984337287E-3</v>
      </c>
      <c r="E54" s="67">
        <v>4334</v>
      </c>
      <c r="F54" s="64">
        <v>152606.51085951901</v>
      </c>
      <c r="G54" s="72">
        <f>IFERROR(FemalePayGapsByOccupationalSeriesAndRacialEthnicGroup[[#This Row],[White Female Avg Salary]]/FemalePayGapsByOccupationalSeriesAndRacialEthnicGroup[[#This Row],[White Male Average Salary]],"")</f>
        <v>0.99383072839070918</v>
      </c>
      <c r="H54" s="10">
        <f>IFERROR(FemalePayGapsByOccupationalSeriesAndRacialEthnicGroup[[#This Row],[AIAN Female Employees]]/I$318,"")</f>
        <v>6.747720364741641E-3</v>
      </c>
      <c r="I54">
        <v>111</v>
      </c>
      <c r="J54" s="6">
        <v>151901.423423423</v>
      </c>
      <c r="K54" s="52">
        <f>IFERROR(FemalePayGapsByOccupationalSeriesAndRacialEthnicGroup[[#This Row],[AIAN Female Avg Salary]]/FemalePayGapsByOccupationalSeriesAndRacialEthnicGroup[[#This Row],[White Male Average Salary]],"")</f>
        <v>0.98923893505078087</v>
      </c>
      <c r="L54" s="10">
        <f>IFERROR(FemalePayGapsByOccupationalSeriesAndRacialEthnicGroup[[#This Row],[ANHPI Female Employees]]/M$318,"")</f>
        <v>4.8788091341282827E-3</v>
      </c>
      <c r="M54" s="8">
        <v>313</v>
      </c>
      <c r="N54" s="6">
        <v>157574.792332268</v>
      </c>
      <c r="O54" s="52">
        <f>IFERROR(FemalePayGapsByOccupationalSeriesAndRacialEthnicGroup[[#This Row],[ANHPI Female Avg Salary]]/FemalePayGapsByOccupationalSeriesAndRacialEthnicGroup[[#This Row],[White Male Average Salary]],"")</f>
        <v>1.0261860372638509</v>
      </c>
      <c r="P54" s="10">
        <f>IFERROR(FemalePayGapsByOccupationalSeriesAndRacialEthnicGroup[[#This Row],[Black Female Employees]]/Q$318,"")</f>
        <v>5.6222227502792099E-3</v>
      </c>
      <c r="Q54" s="8">
        <v>1183</v>
      </c>
      <c r="R54" s="6">
        <v>152451.44529262101</v>
      </c>
      <c r="S54" s="52">
        <f>IFERROR(FemalePayGapsByOccupationalSeriesAndRacialEthnicGroup[[#This Row],[Black Female Avg Salary]]/FemalePayGapsByOccupationalSeriesAndRacialEthnicGroup[[#This Row],[White Male Average Salary]],"")</f>
        <v>0.99282088336882524</v>
      </c>
      <c r="T54" s="10">
        <f>IFERROR(FemalePayGapsByOccupationalSeriesAndRacialEthnicGroup[[#This Row],[Hispanic Latino Female Employees]]/U$318,"")</f>
        <v>5.3068078397190211E-3</v>
      </c>
      <c r="U54" s="8">
        <v>414</v>
      </c>
      <c r="V54" s="6">
        <v>142795.20096852299</v>
      </c>
      <c r="W54" s="52">
        <f>IFERROR(FemalePayGapsByOccupationalSeriesAndRacialEthnicGroup[[#This Row],[Hispanic Latino Female Avg Salary]]/FemalePayGapsByOccupationalSeriesAndRacialEthnicGroup[[#This Row],[White Male Average Salary]],"")</f>
        <v>0.92993580542499399</v>
      </c>
      <c r="X54" s="10">
        <f>IFERROR(FemalePayGapsByOccupationalSeriesAndRacialEthnicGroup[[#This Row],[Other Female Employees]]/Y$318,"")</f>
        <v>9.3267763269459045E-3</v>
      </c>
      <c r="Y54" s="8">
        <v>165</v>
      </c>
      <c r="Z54" s="6">
        <v>145622.05487804901</v>
      </c>
      <c r="AA54" s="1">
        <f>IFERROR(FemalePayGapsByOccupationalSeriesAndRacialEthnicGroup[[#This Row],[Other Female Avg Salary]]/FemalePayGapsByOccupationalSeriesAndRacialEthnicGroup[[#This Row],[White Male Average Salary]],"")</f>
        <v>0.94834533634300677</v>
      </c>
    </row>
    <row r="55" spans="1:27" ht="15.6" x14ac:dyDescent="0.3">
      <c r="A55" s="46" t="s">
        <v>66</v>
      </c>
      <c r="B55" s="40">
        <v>1515</v>
      </c>
      <c r="C55" s="41">
        <v>98949.150693984993</v>
      </c>
      <c r="D55" s="70">
        <f>IFERROR(FemalePayGapsByOccupationalSeriesAndRacialEthnicGroup[[#This Row],[White Female Employees]]/E$318,"")</f>
        <v>7.5181052271860995E-3</v>
      </c>
      <c r="E55" s="16">
        <v>3432</v>
      </c>
      <c r="F55" s="17">
        <v>94353.694169095994</v>
      </c>
      <c r="G55" s="18">
        <f>IFERROR(FemalePayGapsByOccupationalSeriesAndRacialEthnicGroup[[#This Row],[White Female Avg Salary]]/FemalePayGapsByOccupationalSeriesAndRacialEthnicGroup[[#This Row],[White Male Average Salary]],"")</f>
        <v>0.95355739293709418</v>
      </c>
      <c r="H55" s="10">
        <f>IFERROR(FemalePayGapsByOccupationalSeriesAndRacialEthnicGroup[[#This Row],[AIAN Female Employees]]/I$318,"")</f>
        <v>7.659574468085106E-3</v>
      </c>
      <c r="I55">
        <v>126</v>
      </c>
      <c r="J55" s="6">
        <v>87390.214285713999</v>
      </c>
      <c r="K55" s="52">
        <f>IFERROR(FemalePayGapsByOccupationalSeriesAndRacialEthnicGroup[[#This Row],[AIAN Female Avg Salary]]/FemalePayGapsByOccupationalSeriesAndRacialEthnicGroup[[#This Row],[White Male Average Salary]],"")</f>
        <v>0.8831830659767993</v>
      </c>
      <c r="L55" s="10">
        <f>IFERROR(FemalePayGapsByOccupationalSeriesAndRacialEthnicGroup[[#This Row],[ANHPI Female Employees]]/M$318,"")</f>
        <v>4.6450003896812411E-3</v>
      </c>
      <c r="M55" s="8">
        <v>298</v>
      </c>
      <c r="N55" s="6">
        <v>95982.033557047005</v>
      </c>
      <c r="O55" s="52">
        <f>IFERROR(FemalePayGapsByOccupationalSeriesAndRacialEthnicGroup[[#This Row],[ANHPI Female Avg Salary]]/FemalePayGapsByOccupationalSeriesAndRacialEthnicGroup[[#This Row],[White Male Average Salary]],"")</f>
        <v>0.97001371799426317</v>
      </c>
      <c r="P55" s="10">
        <f>IFERROR(FemalePayGapsByOccupationalSeriesAndRacialEthnicGroup[[#This Row],[Black Female Employees]]/Q$318,"")</f>
        <v>8.9442292612218702E-3</v>
      </c>
      <c r="Q55" s="8">
        <v>1882</v>
      </c>
      <c r="R55" s="6">
        <v>100259.984051037</v>
      </c>
      <c r="S55" s="52">
        <f>IFERROR(FemalePayGapsByOccupationalSeriesAndRacialEthnicGroup[[#This Row],[Black Female Avg Salary]]/FemalePayGapsByOccupationalSeriesAndRacialEthnicGroup[[#This Row],[White Male Average Salary]],"")</f>
        <v>1.013247545308458</v>
      </c>
      <c r="T55" s="10">
        <f>IFERROR(FemalePayGapsByOccupationalSeriesAndRacialEthnicGroup[[#This Row],[Hispanic Latino Female Employees]]/U$318,"")</f>
        <v>7.5628420904208273E-3</v>
      </c>
      <c r="U55" s="8">
        <v>590</v>
      </c>
      <c r="V55" s="6">
        <v>91070.077966102006</v>
      </c>
      <c r="W55" s="52">
        <f>IFERROR(FemalePayGapsByOccupationalSeriesAndRacialEthnicGroup[[#This Row],[Hispanic Latino Female Avg Salary]]/FemalePayGapsByOccupationalSeriesAndRacialEthnicGroup[[#This Row],[White Male Average Salary]],"")</f>
        <v>0.92037250777169177</v>
      </c>
      <c r="X55" s="10">
        <f>IFERROR(FemalePayGapsByOccupationalSeriesAndRacialEthnicGroup[[#This Row],[Other Female Employees]]/Y$318,"")</f>
        <v>7.2918433101577069E-3</v>
      </c>
      <c r="Y55" s="8">
        <v>129</v>
      </c>
      <c r="Z55" s="6">
        <v>96090.333333332994</v>
      </c>
      <c r="AA55" s="1">
        <f>IFERROR(FemalePayGapsByOccupationalSeriesAndRacialEthnicGroup[[#This Row],[Other Female Avg Salary]]/FemalePayGapsByOccupationalSeriesAndRacialEthnicGroup[[#This Row],[White Male Average Salary]],"")</f>
        <v>0.97110821729543373</v>
      </c>
    </row>
    <row r="56" spans="1:27" ht="15.6" x14ac:dyDescent="0.3">
      <c r="A56" s="45" t="s">
        <v>67</v>
      </c>
      <c r="B56" s="38">
        <v>467</v>
      </c>
      <c r="C56" s="39">
        <v>88842.623126338003</v>
      </c>
      <c r="D56" s="69">
        <f>IFERROR(FemalePayGapsByOccupationalSeriesAndRacialEthnicGroup[[#This Row],[White Female Employees]]/E$318,"")</f>
        <v>1.3340693716073235E-3</v>
      </c>
      <c r="E56" s="67">
        <v>609</v>
      </c>
      <c r="F56" s="64">
        <v>74416.555008209994</v>
      </c>
      <c r="G56" s="72">
        <f>IFERROR(FemalePayGapsByOccupationalSeriesAndRacialEthnicGroup[[#This Row],[White Female Avg Salary]]/FemalePayGapsByOccupationalSeriesAndRacialEthnicGroup[[#This Row],[White Male Average Salary]],"")</f>
        <v>0.83762221768695955</v>
      </c>
      <c r="H56" s="10" t="str">
        <f>IFERROR(FemalePayGapsByOccupationalSeriesAndRacialEthnicGroup[[#This Row],[AIAN Female Employees]]/I$318,"")</f>
        <v/>
      </c>
      <c r="I56" t="s">
        <v>0</v>
      </c>
      <c r="J56" s="6" t="s">
        <v>0</v>
      </c>
      <c r="K56" s="52" t="str">
        <f>IFERROR(FemalePayGapsByOccupationalSeriesAndRacialEthnicGroup[[#This Row],[AIAN Female Avg Salary]]/FemalePayGapsByOccupationalSeriesAndRacialEthnicGroup[[#This Row],[White Male Average Salary]],"")</f>
        <v/>
      </c>
      <c r="L56" s="10" t="str">
        <f>IFERROR(FemalePayGapsByOccupationalSeriesAndRacialEthnicGroup[[#This Row],[ANHPI Female Employees]]/M$318,"")</f>
        <v/>
      </c>
      <c r="M56" s="8" t="s">
        <v>0</v>
      </c>
      <c r="N56" s="6" t="s">
        <v>0</v>
      </c>
      <c r="O56" s="52" t="str">
        <f>IFERROR(FemalePayGapsByOccupationalSeriesAndRacialEthnicGroup[[#This Row],[ANHPI Female Avg Salary]]/FemalePayGapsByOccupationalSeriesAndRacialEthnicGroup[[#This Row],[White Male Average Salary]],"")</f>
        <v/>
      </c>
      <c r="P56" s="10">
        <f>IFERROR(FemalePayGapsByOccupationalSeriesAndRacialEthnicGroup[[#This Row],[Black Female Employees]]/Q$318,"")</f>
        <v>1.6681320248081173E-3</v>
      </c>
      <c r="Q56" s="8">
        <v>351</v>
      </c>
      <c r="R56" s="6">
        <v>93449.863247863002</v>
      </c>
      <c r="S56" s="52">
        <f>IFERROR(FemalePayGapsByOccupationalSeriesAndRacialEthnicGroup[[#This Row],[Black Female Avg Salary]]/FemalePayGapsByOccupationalSeriesAndRacialEthnicGroup[[#This Row],[White Male Average Salary]],"")</f>
        <v>1.0518584431593527</v>
      </c>
      <c r="T56" s="10">
        <f>IFERROR(FemalePayGapsByOccupationalSeriesAndRacialEthnicGroup[[#This Row],[Hispanic Latino Female Employees]]/U$318,"")</f>
        <v>1.3715662774153026E-3</v>
      </c>
      <c r="U56" s="8">
        <v>107</v>
      </c>
      <c r="V56" s="6">
        <v>76140.607476635996</v>
      </c>
      <c r="W56" s="52">
        <f>IFERROR(FemalePayGapsByOccupationalSeriesAndRacialEthnicGroup[[#This Row],[Hispanic Latino Female Avg Salary]]/FemalePayGapsByOccupationalSeriesAndRacialEthnicGroup[[#This Row],[White Male Average Salary]],"")</f>
        <v>0.8570279084213982</v>
      </c>
      <c r="X56" s="10" t="str">
        <f>IFERROR(FemalePayGapsByOccupationalSeriesAndRacialEthnicGroup[[#This Row],[Other Female Employees]]/Y$318,"")</f>
        <v/>
      </c>
      <c r="Y56" s="8" t="s">
        <v>0</v>
      </c>
      <c r="Z56" s="6" t="s">
        <v>0</v>
      </c>
      <c r="AA5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57" spans="1:27" ht="15.6" x14ac:dyDescent="0.3">
      <c r="A57" s="46" t="s">
        <v>68</v>
      </c>
      <c r="B57" s="40">
        <v>22941</v>
      </c>
      <c r="C57" s="41">
        <v>118918.206367205</v>
      </c>
      <c r="D57" s="70">
        <f>IFERROR(FemalePayGapsByOccupationalSeriesAndRacialEthnicGroup[[#This Row],[White Female Employees]]/E$318,"")</f>
        <v>5.561032030808459E-2</v>
      </c>
      <c r="E57" s="16">
        <v>25386</v>
      </c>
      <c r="F57" s="17">
        <v>112203.080023641</v>
      </c>
      <c r="G57" s="18">
        <f>IFERROR(FemalePayGapsByOccupationalSeriesAndRacialEthnicGroup[[#This Row],[White Female Avg Salary]]/FemalePayGapsByOccupationalSeriesAndRacialEthnicGroup[[#This Row],[White Male Average Salary]],"")</f>
        <v>0.94353155375697051</v>
      </c>
      <c r="H57" s="10">
        <f>IFERROR(FemalePayGapsByOccupationalSeriesAndRacialEthnicGroup[[#This Row],[AIAN Female Employees]]/I$318,"")</f>
        <v>3.0334346504559271E-2</v>
      </c>
      <c r="I57">
        <v>499</v>
      </c>
      <c r="J57" s="6">
        <v>103226.941649899</v>
      </c>
      <c r="K57" s="52">
        <f>IFERROR(FemalePayGapsByOccupationalSeriesAndRacialEthnicGroup[[#This Row],[AIAN Female Avg Salary]]/FemalePayGapsByOccupationalSeriesAndRacialEthnicGroup[[#This Row],[White Male Average Salary]],"")</f>
        <v>0.8680499378803842</v>
      </c>
      <c r="L57" s="10">
        <f>IFERROR(FemalePayGapsByOccupationalSeriesAndRacialEthnicGroup[[#This Row],[ANHPI Female Employees]]/M$318,"")</f>
        <v>4.0620372535266153E-2</v>
      </c>
      <c r="M57" s="8">
        <v>2606</v>
      </c>
      <c r="N57" s="6">
        <v>112644.83640553</v>
      </c>
      <c r="O57" s="52">
        <f>IFERROR(FemalePayGapsByOccupationalSeriesAndRacialEthnicGroup[[#This Row],[ANHPI Female Avg Salary]]/FemalePayGapsByOccupationalSeriesAndRacialEthnicGroup[[#This Row],[White Male Average Salary]],"")</f>
        <v>0.94724634559065257</v>
      </c>
      <c r="P57" s="10">
        <f>IFERROR(FemalePayGapsByOccupationalSeriesAndRacialEthnicGroup[[#This Row],[Black Female Employees]]/Q$318,"")</f>
        <v>7.1501556447971862E-2</v>
      </c>
      <c r="Q57" s="8">
        <v>15045</v>
      </c>
      <c r="R57" s="6">
        <v>115959.272358534</v>
      </c>
      <c r="S57" s="52">
        <f>IFERROR(FemalePayGapsByOccupationalSeriesAndRacialEthnicGroup[[#This Row],[Black Female Avg Salary]]/FemalePayGapsByOccupationalSeriesAndRacialEthnicGroup[[#This Row],[White Male Average Salary]],"")</f>
        <v>0.97511790583576263</v>
      </c>
      <c r="T57" s="10">
        <f>IFERROR(FemalePayGapsByOccupationalSeriesAndRacialEthnicGroup[[#This Row],[Hispanic Latino Female Employees]]/U$318,"")</f>
        <v>4.3608116595951957E-2</v>
      </c>
      <c r="U57" s="8">
        <v>3402</v>
      </c>
      <c r="V57" s="6">
        <v>108170.03439153401</v>
      </c>
      <c r="W57" s="52">
        <f>IFERROR(FemalePayGapsByOccupationalSeriesAndRacialEthnicGroup[[#This Row],[Hispanic Latino Female Avg Salary]]/FemalePayGapsByOccupationalSeriesAndRacialEthnicGroup[[#This Row],[White Male Average Salary]],"")</f>
        <v>0.90961710318366273</v>
      </c>
      <c r="X57" s="10">
        <f>IFERROR(FemalePayGapsByOccupationalSeriesAndRacialEthnicGroup[[#This Row],[Other Female Employees]]/Y$318,"")</f>
        <v>7.3314114521508114E-2</v>
      </c>
      <c r="Y57" s="8">
        <v>1297</v>
      </c>
      <c r="Z57" s="6">
        <v>106767.632999229</v>
      </c>
      <c r="AA57" s="1">
        <f>IFERROR(FemalePayGapsByOccupationalSeriesAndRacialEthnicGroup[[#This Row],[Other Female Avg Salary]]/FemalePayGapsByOccupationalSeriesAndRacialEthnicGroup[[#This Row],[White Male Average Salary]],"")</f>
        <v>0.89782411172216559</v>
      </c>
    </row>
    <row r="58" spans="1:27" ht="31.2" x14ac:dyDescent="0.3">
      <c r="A58" s="45" t="s">
        <v>69</v>
      </c>
      <c r="B58" s="38">
        <v>489</v>
      </c>
      <c r="C58" s="39">
        <v>56673.179959100002</v>
      </c>
      <c r="D58" s="69">
        <f>IFERROR(FemalePayGapsByOccupationalSeriesAndRacialEthnicGroup[[#This Row],[White Female Employees]]/E$318,"")</f>
        <v>3.8554385780441534E-3</v>
      </c>
      <c r="E58" s="67">
        <v>1760</v>
      </c>
      <c r="F58" s="64">
        <v>56920.156907334</v>
      </c>
      <c r="G58" s="72">
        <f>IFERROR(FemalePayGapsByOccupationalSeriesAndRacialEthnicGroup[[#This Row],[White Female Avg Salary]]/FemalePayGapsByOccupationalSeriesAndRacialEthnicGroup[[#This Row],[White Male Average Salary]],"")</f>
        <v>1.0043579158327138</v>
      </c>
      <c r="H58" s="10" t="str">
        <f>IFERROR(FemalePayGapsByOccupationalSeriesAndRacialEthnicGroup[[#This Row],[AIAN Female Employees]]/I$318,"")</f>
        <v/>
      </c>
      <c r="I58" t="s">
        <v>0</v>
      </c>
      <c r="J58" s="6" t="s">
        <v>0</v>
      </c>
      <c r="K58" s="52" t="str">
        <f>IFERROR(FemalePayGapsByOccupationalSeriesAndRacialEthnicGroup[[#This Row],[AIAN Female Avg Salary]]/FemalePayGapsByOccupationalSeriesAndRacialEthnicGroup[[#This Row],[White Male Average Salary]],"")</f>
        <v/>
      </c>
      <c r="L58" s="10">
        <f>IFERROR(FemalePayGapsByOccupationalSeriesAndRacialEthnicGroup[[#This Row],[ANHPI Female Employees]]/M$318,"")</f>
        <v>2.1510404489127892E-3</v>
      </c>
      <c r="M58" s="8">
        <v>138</v>
      </c>
      <c r="N58" s="6">
        <v>59436.884057971001</v>
      </c>
      <c r="O58" s="52">
        <f>IFERROR(FemalePayGapsByOccupationalSeriesAndRacialEthnicGroup[[#This Row],[ANHPI Female Avg Salary]]/FemalePayGapsByOccupationalSeriesAndRacialEthnicGroup[[#This Row],[White Male Average Salary]],"")</f>
        <v>1.0487656436583497</v>
      </c>
      <c r="P58" s="10">
        <f>IFERROR(FemalePayGapsByOccupationalSeriesAndRacialEthnicGroup[[#This Row],[Black Female Employees]]/Q$318,"")</f>
        <v>4.5481548368699947E-3</v>
      </c>
      <c r="Q58" s="8">
        <v>957</v>
      </c>
      <c r="R58" s="6">
        <v>57329.676071055001</v>
      </c>
      <c r="S58" s="52">
        <f>IFERROR(FemalePayGapsByOccupationalSeriesAndRacialEthnicGroup[[#This Row],[Black Female Avg Salary]]/FemalePayGapsByOccupationalSeriesAndRacialEthnicGroup[[#This Row],[White Male Average Salary]],"")</f>
        <v>1.0115838940470392</v>
      </c>
      <c r="T58" s="10">
        <f>IFERROR(FemalePayGapsByOccupationalSeriesAndRacialEthnicGroup[[#This Row],[Hispanic Latino Female Employees]]/U$318,"")</f>
        <v>4.9094381705613163E-3</v>
      </c>
      <c r="U58" s="8">
        <v>383</v>
      </c>
      <c r="V58" s="6">
        <v>56223.365535247998</v>
      </c>
      <c r="W58" s="52">
        <f>IFERROR(FemalePayGapsByOccupationalSeriesAndRacialEthnicGroup[[#This Row],[Hispanic Latino Female Avg Salary]]/FemalePayGapsByOccupationalSeriesAndRacialEthnicGroup[[#This Row],[White Male Average Salary]],"")</f>
        <v>0.99206301068377267</v>
      </c>
      <c r="X58" s="10" t="str">
        <f>IFERROR(FemalePayGapsByOccupationalSeriesAndRacialEthnicGroup[[#This Row],[Other Female Employees]]/Y$318,"")</f>
        <v/>
      </c>
      <c r="Y58" s="8" t="s">
        <v>0</v>
      </c>
      <c r="Z58" s="6" t="s">
        <v>0</v>
      </c>
      <c r="AA5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59" spans="1:27" ht="15.6" x14ac:dyDescent="0.3">
      <c r="A59" s="46" t="s">
        <v>70</v>
      </c>
      <c r="B59" s="40">
        <v>10357</v>
      </c>
      <c r="C59" s="41">
        <v>107082.23495895699</v>
      </c>
      <c r="D59" s="70">
        <f>IFERROR(FemalePayGapsByOccupationalSeriesAndRacialEthnicGroup[[#This Row],[White Female Employees]]/E$318,"")</f>
        <v>8.8565557789957467E-3</v>
      </c>
      <c r="E59" s="16">
        <v>4043</v>
      </c>
      <c r="F59" s="17">
        <v>99261.50902795</v>
      </c>
      <c r="G59" s="18">
        <f>IFERROR(FemalePayGapsByOccupationalSeriesAndRacialEthnicGroup[[#This Row],[White Female Avg Salary]]/FemalePayGapsByOccupationalSeriesAndRacialEthnicGroup[[#This Row],[White Male Average Salary]],"")</f>
        <v>0.92696523439201139</v>
      </c>
      <c r="H59" s="10">
        <f>IFERROR(FemalePayGapsByOccupationalSeriesAndRacialEthnicGroup[[#This Row],[AIAN Female Employees]]/I$318,"")</f>
        <v>4.1337386018237086E-3</v>
      </c>
      <c r="I59">
        <v>68</v>
      </c>
      <c r="J59" s="6">
        <v>93373.970149254004</v>
      </c>
      <c r="K59" s="52">
        <f>IFERROR(FemalePayGapsByOccupationalSeriesAndRacialEthnicGroup[[#This Row],[AIAN Female Avg Salary]]/FemalePayGapsByOccupationalSeriesAndRacialEthnicGroup[[#This Row],[White Male Average Salary]],"")</f>
        <v>0.87198376261984856</v>
      </c>
      <c r="L59" s="10">
        <f>IFERROR(FemalePayGapsByOccupationalSeriesAndRacialEthnicGroup[[#This Row],[ANHPI Female Employees]]/M$318,"")</f>
        <v>4.0682721533785359E-3</v>
      </c>
      <c r="M59" s="8">
        <v>261</v>
      </c>
      <c r="N59" s="6">
        <v>99618.383141761995</v>
      </c>
      <c r="O59" s="52">
        <f>IFERROR(FemalePayGapsByOccupationalSeriesAndRacialEthnicGroup[[#This Row],[ANHPI Female Avg Salary]]/FemalePayGapsByOccupationalSeriesAndRacialEthnicGroup[[#This Row],[White Male Average Salary]],"")</f>
        <v>0.93029794512548436</v>
      </c>
      <c r="P59" s="10">
        <f>IFERROR(FemalePayGapsByOccupationalSeriesAndRacialEthnicGroup[[#This Row],[Black Female Employees]]/Q$318,"")</f>
        <v>7.2665922106313714E-3</v>
      </c>
      <c r="Q59" s="8">
        <v>1529</v>
      </c>
      <c r="R59" s="6">
        <v>101365.28075916199</v>
      </c>
      <c r="S59" s="52">
        <f>IFERROR(FemalePayGapsByOccupationalSeriesAndRacialEthnicGroup[[#This Row],[Black Female Avg Salary]]/FemalePayGapsByOccupationalSeriesAndRacialEthnicGroup[[#This Row],[White Male Average Salary]],"")</f>
        <v>0.94661155324236346</v>
      </c>
      <c r="T59" s="10">
        <f>IFERROR(FemalePayGapsByOccupationalSeriesAndRacialEthnicGroup[[#This Row],[Hispanic Latino Female Employees]]/U$318,"")</f>
        <v>6.5373719764654607E-3</v>
      </c>
      <c r="U59" s="8">
        <v>510</v>
      </c>
      <c r="V59" s="6">
        <v>97372.544204321995</v>
      </c>
      <c r="W59" s="52">
        <f>IFERROR(FemalePayGapsByOccupationalSeriesAndRacialEthnicGroup[[#This Row],[Hispanic Latino Female Avg Salary]]/FemalePayGapsByOccupationalSeriesAndRacialEthnicGroup[[#This Row],[White Male Average Salary]],"")</f>
        <v>0.90932491502109036</v>
      </c>
      <c r="X59" s="10">
        <f>IFERROR(FemalePayGapsByOccupationalSeriesAndRacialEthnicGroup[[#This Row],[Other Female Employees]]/Y$318,"")</f>
        <v>1.051382058673902E-2</v>
      </c>
      <c r="Y59" s="8">
        <v>186</v>
      </c>
      <c r="Z59" s="6">
        <v>97052.677419354994</v>
      </c>
      <c r="AA59" s="1">
        <f>IFERROR(FemalePayGapsByOccupationalSeriesAndRacialEthnicGroup[[#This Row],[Other Female Avg Salary]]/FemalePayGapsByOccupationalSeriesAndRacialEthnicGroup[[#This Row],[White Male Average Salary]],"")</f>
        <v>0.90633780156487975</v>
      </c>
    </row>
    <row r="60" spans="1:27" ht="15.6" x14ac:dyDescent="0.3">
      <c r="A60" s="45" t="s">
        <v>71</v>
      </c>
      <c r="B60" s="38">
        <v>183</v>
      </c>
      <c r="C60" s="39">
        <v>112852.387978142</v>
      </c>
      <c r="D60" s="69">
        <f>IFERROR(FemalePayGapsByOccupationalSeriesAndRacialEthnicGroup[[#This Row],[White Female Employees]]/E$318,"")</f>
        <v>4.5126156083925888E-4</v>
      </c>
      <c r="E60" s="67">
        <v>206</v>
      </c>
      <c r="F60" s="64">
        <v>114549.349514563</v>
      </c>
      <c r="G60" s="72">
        <f>IFERROR(FemalePayGapsByOccupationalSeriesAndRacialEthnicGroup[[#This Row],[White Female Avg Salary]]/FemalePayGapsByOccupationalSeriesAndRacialEthnicGroup[[#This Row],[White Male Average Salary]],"")</f>
        <v>1.0150370015807701</v>
      </c>
      <c r="H60" s="10" t="str">
        <f>IFERROR(FemalePayGapsByOccupationalSeriesAndRacialEthnicGroup[[#This Row],[AIAN Female Employees]]/I$318,"")</f>
        <v/>
      </c>
      <c r="I60" t="s">
        <v>0</v>
      </c>
      <c r="J60" s="6" t="s">
        <v>0</v>
      </c>
      <c r="K60" s="52" t="str">
        <f>IFERROR(FemalePayGapsByOccupationalSeriesAndRacialEthnicGroup[[#This Row],[AIAN Female Avg Salary]]/FemalePayGapsByOccupationalSeriesAndRacialEthnicGroup[[#This Row],[White Male Average Salary]],"")</f>
        <v/>
      </c>
      <c r="L60" s="10" t="str">
        <f>IFERROR(FemalePayGapsByOccupationalSeriesAndRacialEthnicGroup[[#This Row],[ANHPI Female Employees]]/M$318,"")</f>
        <v/>
      </c>
      <c r="M60" s="8" t="s">
        <v>0</v>
      </c>
      <c r="N60" s="6" t="s">
        <v>0</v>
      </c>
      <c r="O60" s="52" t="str">
        <f>IFERROR(FemalePayGapsByOccupationalSeriesAndRacialEthnicGroup[[#This Row],[ANHPI Female Avg Salary]]/FemalePayGapsByOccupationalSeriesAndRacialEthnicGroup[[#This Row],[White Male Average Salary]],"")</f>
        <v/>
      </c>
      <c r="P60" s="10">
        <f>IFERROR(FemalePayGapsByOccupationalSeriesAndRacialEthnicGroup[[#This Row],[Black Female Employees]]/Q$318,"")</f>
        <v>1.4352588931397477E-3</v>
      </c>
      <c r="Q60" s="8">
        <v>302</v>
      </c>
      <c r="R60" s="6">
        <v>111895.707641196</v>
      </c>
      <c r="S60" s="52">
        <f>IFERROR(FemalePayGapsByOccupationalSeriesAndRacialEthnicGroup[[#This Row],[Black Female Avg Salary]]/FemalePayGapsByOccupationalSeriesAndRacialEthnicGroup[[#This Row],[White Male Average Salary]],"")</f>
        <v>0.99152272845895573</v>
      </c>
      <c r="T60" s="10">
        <f>IFERROR(FemalePayGapsByOccupationalSeriesAndRacialEthnicGroup[[#This Row],[Hispanic Latino Female Employees]]/U$318,"")</f>
        <v>1.1536538781997871E-3</v>
      </c>
      <c r="U60" s="8">
        <v>90</v>
      </c>
      <c r="V60" s="6">
        <v>113464.977777778</v>
      </c>
      <c r="W60" s="52">
        <f>IFERROR(FemalePayGapsByOccupationalSeriesAndRacialEthnicGroup[[#This Row],[Hispanic Latino Female Avg Salary]]/FemalePayGapsByOccupationalSeriesAndRacialEthnicGroup[[#This Row],[White Male Average Salary]],"")</f>
        <v>1.0054282395845682</v>
      </c>
      <c r="X60" s="10" t="str">
        <f>IFERROR(FemalePayGapsByOccupationalSeriesAndRacialEthnicGroup[[#This Row],[Other Female Employees]]/Y$318,"")</f>
        <v/>
      </c>
      <c r="Y60" s="8" t="s">
        <v>0</v>
      </c>
      <c r="Z60" s="6" t="s">
        <v>0</v>
      </c>
      <c r="AA6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61" spans="1:27" ht="15.6" x14ac:dyDescent="0.3">
      <c r="A61" s="46" t="s">
        <v>72</v>
      </c>
      <c r="B61" s="40">
        <v>82</v>
      </c>
      <c r="C61" s="41">
        <v>40222.463414634003</v>
      </c>
      <c r="D61" s="70">
        <f>IFERROR(FemalePayGapsByOccupationalSeriesAndRacialEthnicGroup[[#This Row],[White Female Employees]]/E$318,"")</f>
        <v>1.7524720809291607E-4</v>
      </c>
      <c r="E61" s="16">
        <v>80</v>
      </c>
      <c r="F61" s="17">
        <v>40060.387499999997</v>
      </c>
      <c r="G61" s="18">
        <f>IFERROR(FemalePayGapsByOccupationalSeriesAndRacialEthnicGroup[[#This Row],[White Female Avg Salary]]/FemalePayGapsByOccupationalSeriesAndRacialEthnicGroup[[#This Row],[White Male Average Salary]],"")</f>
        <v>0.99597051247301183</v>
      </c>
      <c r="H61" s="10" t="str">
        <f>IFERROR(FemalePayGapsByOccupationalSeriesAndRacialEthnicGroup[[#This Row],[AIAN Female Employees]]/I$318,"")</f>
        <v/>
      </c>
      <c r="I61" t="s">
        <v>0</v>
      </c>
      <c r="J61" s="6" t="s">
        <v>0</v>
      </c>
      <c r="K61" s="52" t="str">
        <f>IFERROR(FemalePayGapsByOccupationalSeriesAndRacialEthnicGroup[[#This Row],[AIAN Female Avg Salary]]/FemalePayGapsByOccupationalSeriesAndRacialEthnicGroup[[#This Row],[White Male Average Salary]],"")</f>
        <v/>
      </c>
      <c r="L61" s="10" t="str">
        <f>IFERROR(FemalePayGapsByOccupationalSeriesAndRacialEthnicGroup[[#This Row],[ANHPI Female Employees]]/M$318,"")</f>
        <v/>
      </c>
      <c r="M61" s="8" t="s">
        <v>0</v>
      </c>
      <c r="N61" s="6" t="s">
        <v>0</v>
      </c>
      <c r="O61" s="52" t="str">
        <f>IFERROR(FemalePayGapsByOccupationalSeriesAndRacialEthnicGroup[[#This Row],[ANHPI Female Avg Salary]]/FemalePayGapsByOccupationalSeriesAndRacialEthnicGroup[[#This Row],[White Male Average Salary]],"")</f>
        <v/>
      </c>
      <c r="P61" s="10">
        <f>IFERROR(FemalePayGapsByOccupationalSeriesAndRacialEthnicGroup[[#This Row],[Black Female Employees]]/Q$318,"")</f>
        <v>3.4218092816576764E-4</v>
      </c>
      <c r="Q61" s="8">
        <v>72</v>
      </c>
      <c r="R61" s="6">
        <v>39223.408450704002</v>
      </c>
      <c r="S61" s="52">
        <f>IFERROR(FemalePayGapsByOccupationalSeriesAndRacialEthnicGroup[[#This Row],[Black Female Avg Salary]]/FemalePayGapsByOccupationalSeriesAndRacialEthnicGroup[[#This Row],[White Male Average Salary]],"")</f>
        <v>0.97516176586124959</v>
      </c>
      <c r="T61" s="10" t="str">
        <f>IFERROR(FemalePayGapsByOccupationalSeriesAndRacialEthnicGroup[[#This Row],[Hispanic Latino Female Employees]]/U$318,"")</f>
        <v/>
      </c>
      <c r="U61" s="8" t="s">
        <v>0</v>
      </c>
      <c r="V61" s="6" t="s">
        <v>0</v>
      </c>
      <c r="W6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61" s="10" t="str">
        <f>IFERROR(FemalePayGapsByOccupationalSeriesAndRacialEthnicGroup[[#This Row],[Other Female Employees]]/Y$318,"")</f>
        <v/>
      </c>
      <c r="Y61" s="8" t="s">
        <v>0</v>
      </c>
      <c r="Z61" s="6" t="s">
        <v>0</v>
      </c>
      <c r="AA6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62" spans="1:27" ht="15.6" x14ac:dyDescent="0.3">
      <c r="A62" s="45" t="s">
        <v>73</v>
      </c>
      <c r="B62" s="38">
        <v>2660</v>
      </c>
      <c r="C62" s="39">
        <v>107047.36206247599</v>
      </c>
      <c r="D62" s="69">
        <f>IFERROR(FemalePayGapsByOccupationalSeriesAndRacialEthnicGroup[[#This Row],[White Female Employees]]/E$318,"")</f>
        <v>6.1555581842636774E-4</v>
      </c>
      <c r="E62" s="67">
        <v>281</v>
      </c>
      <c r="F62" s="64">
        <v>104761.80782918099</v>
      </c>
      <c r="G62" s="72">
        <f>IFERROR(FemalePayGapsByOccupationalSeriesAndRacialEthnicGroup[[#This Row],[White Female Avg Salary]]/FemalePayGapsByOccupationalSeriesAndRacialEthnicGroup[[#This Row],[White Male Average Salary]],"")</f>
        <v>0.97864913072812498</v>
      </c>
      <c r="H62" s="10" t="str">
        <f>IFERROR(FemalePayGapsByOccupationalSeriesAndRacialEthnicGroup[[#This Row],[AIAN Female Employees]]/I$318,"")</f>
        <v/>
      </c>
      <c r="I62" t="s">
        <v>0</v>
      </c>
      <c r="J62" s="6" t="s">
        <v>0</v>
      </c>
      <c r="K62" s="52" t="str">
        <f>IFERROR(FemalePayGapsByOccupationalSeriesAndRacialEthnicGroup[[#This Row],[AIAN Female Avg Salary]]/FemalePayGapsByOccupationalSeriesAndRacialEthnicGroup[[#This Row],[White Male Average Salary]],"")</f>
        <v/>
      </c>
      <c r="L62" s="10">
        <f>IFERROR(FemalePayGapsByOccupationalSeriesAndRacialEthnicGroup[[#This Row],[ANHPI Female Employees]]/M$318,"")</f>
        <v>5.611409866729016E-4</v>
      </c>
      <c r="M62" s="8">
        <v>36</v>
      </c>
      <c r="N62" s="6">
        <v>108603.16666666701</v>
      </c>
      <c r="O62" s="52">
        <f>IFERROR(FemalePayGapsByOccupationalSeriesAndRacialEthnicGroup[[#This Row],[ANHPI Female Avg Salary]]/FemalePayGapsByOccupationalSeriesAndRacialEthnicGroup[[#This Row],[White Male Average Salary]],"")</f>
        <v>1.0145337967626236</v>
      </c>
      <c r="P62" s="10">
        <f>IFERROR(FemalePayGapsByOccupationalSeriesAndRacialEthnicGroup[[#This Row],[Black Female Employees]]/Q$318,"")</f>
        <v>5.6079652116056361E-4</v>
      </c>
      <c r="Q62" s="8">
        <v>118</v>
      </c>
      <c r="R62" s="6">
        <v>107517.64406779699</v>
      </c>
      <c r="S62" s="52">
        <f>IFERROR(FemalePayGapsByOccupationalSeriesAndRacialEthnicGroup[[#This Row],[Black Female Avg Salary]]/FemalePayGapsByOccupationalSeriesAndRacialEthnicGroup[[#This Row],[White Male Average Salary]],"")</f>
        <v>1.0043932143329841</v>
      </c>
      <c r="T62" s="10">
        <f>IFERROR(FemalePayGapsByOccupationalSeriesAndRacialEthnicGroup[[#This Row],[Hispanic Latino Female Employees]]/U$318,"")</f>
        <v>6.7937395049543024E-4</v>
      </c>
      <c r="U62" s="8">
        <v>53</v>
      </c>
      <c r="V62" s="6">
        <v>101888.094339623</v>
      </c>
      <c r="W62" s="52">
        <f>IFERROR(FemalePayGapsByOccupationalSeriesAndRacialEthnicGroup[[#This Row],[Hispanic Latino Female Avg Salary]]/FemalePayGapsByOccupationalSeriesAndRacialEthnicGroup[[#This Row],[White Male Average Salary]],"")</f>
        <v>0.95180387798961463</v>
      </c>
      <c r="X62" s="10">
        <f>IFERROR(FemalePayGapsByOccupationalSeriesAndRacialEthnicGroup[[#This Row],[Other Female Employees]]/Y$318,"")</f>
        <v>1.4696738454581426E-3</v>
      </c>
      <c r="Y62" s="8">
        <v>26</v>
      </c>
      <c r="Z62" s="6">
        <v>101297.846153846</v>
      </c>
      <c r="AA62" s="1">
        <f>IFERROR(FemalePayGapsByOccupationalSeriesAndRacialEthnicGroup[[#This Row],[Other Female Avg Salary]]/FemalePayGapsByOccupationalSeriesAndRacialEthnicGroup[[#This Row],[White Male Average Salary]],"")</f>
        <v>0.94628998045487178</v>
      </c>
    </row>
    <row r="63" spans="1:27" ht="15.6" x14ac:dyDescent="0.3">
      <c r="A63" s="46" t="s">
        <v>74</v>
      </c>
      <c r="B63" s="40">
        <v>88</v>
      </c>
      <c r="C63" s="41">
        <v>60952.885057471001</v>
      </c>
      <c r="D63" s="70">
        <f>IFERROR(FemalePayGapsByOccupationalSeriesAndRacialEthnicGroup[[#This Row],[White Female Employees]]/E$318,"")</f>
        <v>1.8181897839640042E-4</v>
      </c>
      <c r="E63" s="16">
        <v>83</v>
      </c>
      <c r="F63" s="17">
        <v>60500.084337348999</v>
      </c>
      <c r="G63" s="18">
        <f>IFERROR(FemalePayGapsByOccupationalSeriesAndRacialEthnicGroup[[#This Row],[White Female Avg Salary]]/FemalePayGapsByOccupationalSeriesAndRacialEthnicGroup[[#This Row],[White Male Average Salary]],"")</f>
        <v>0.99257129962437274</v>
      </c>
      <c r="H63" s="10" t="str">
        <f>IFERROR(FemalePayGapsByOccupationalSeriesAndRacialEthnicGroup[[#This Row],[AIAN Female Employees]]/I$318,"")</f>
        <v/>
      </c>
      <c r="I63" t="s">
        <v>0</v>
      </c>
      <c r="J63" s="6" t="s">
        <v>0</v>
      </c>
      <c r="K63" s="52" t="str">
        <f>IFERROR(FemalePayGapsByOccupationalSeriesAndRacialEthnicGroup[[#This Row],[AIAN Female Avg Salary]]/FemalePayGapsByOccupationalSeriesAndRacialEthnicGroup[[#This Row],[White Male Average Salary]],"")</f>
        <v/>
      </c>
      <c r="L63" s="10" t="str">
        <f>IFERROR(FemalePayGapsByOccupationalSeriesAndRacialEthnicGroup[[#This Row],[ANHPI Female Employees]]/M$318,"")</f>
        <v/>
      </c>
      <c r="M63" s="8" t="s">
        <v>0</v>
      </c>
      <c r="N63" s="6" t="s">
        <v>0</v>
      </c>
      <c r="O63" s="52" t="str">
        <f>IFERROR(FemalePayGapsByOccupationalSeriesAndRacialEthnicGroup[[#This Row],[ANHPI Female Avg Salary]]/FemalePayGapsByOccupationalSeriesAndRacialEthnicGroup[[#This Row],[White Male Average Salary]],"")</f>
        <v/>
      </c>
      <c r="P63" s="10" t="str">
        <f>IFERROR(FemalePayGapsByOccupationalSeriesAndRacialEthnicGroup[[#This Row],[Black Female Employees]]/Q$318,"")</f>
        <v/>
      </c>
      <c r="Q63" s="8" t="s">
        <v>0</v>
      </c>
      <c r="R63" s="6" t="s">
        <v>0</v>
      </c>
      <c r="S63" s="52" t="str">
        <f>IFERROR(FemalePayGapsByOccupationalSeriesAndRacialEthnicGroup[[#This Row],[Black Female Avg Salary]]/FemalePayGapsByOccupationalSeriesAndRacialEthnicGroup[[#This Row],[White Male Average Salary]],"")</f>
        <v/>
      </c>
      <c r="T63" s="10" t="str">
        <f>IFERROR(FemalePayGapsByOccupationalSeriesAndRacialEthnicGroup[[#This Row],[Hispanic Latino Female Employees]]/U$318,"")</f>
        <v/>
      </c>
      <c r="U63" s="8" t="s">
        <v>0</v>
      </c>
      <c r="V63" s="6" t="s">
        <v>0</v>
      </c>
      <c r="W6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63" s="10" t="str">
        <f>IFERROR(FemalePayGapsByOccupationalSeriesAndRacialEthnicGroup[[#This Row],[Other Female Employees]]/Y$318,"")</f>
        <v/>
      </c>
      <c r="Y63" s="8" t="s">
        <v>0</v>
      </c>
      <c r="Z63" s="6" t="s">
        <v>0</v>
      </c>
      <c r="AA6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64" spans="1:27" ht="31.2" x14ac:dyDescent="0.3">
      <c r="A64" s="45" t="s">
        <v>75</v>
      </c>
      <c r="B64" s="38">
        <v>60</v>
      </c>
      <c r="C64" s="39">
        <v>42264.566666667</v>
      </c>
      <c r="D64" s="69">
        <f>IFERROR(FemalePayGapsByOccupationalSeriesAndRacialEthnicGroup[[#This Row],[White Female Employees]]/E$318,"")</f>
        <v>2.0372487940801493E-4</v>
      </c>
      <c r="E64" s="67">
        <v>93</v>
      </c>
      <c r="F64" s="64">
        <v>40617.043478261003</v>
      </c>
      <c r="G64" s="72">
        <f>IFERROR(FemalePayGapsByOccupationalSeriesAndRacialEthnicGroup[[#This Row],[White Female Avg Salary]]/FemalePayGapsByOccupationalSeriesAndRacialEthnicGroup[[#This Row],[White Male Average Salary]],"")</f>
        <v>0.96101880799110717</v>
      </c>
      <c r="H64" s="10" t="str">
        <f>IFERROR(FemalePayGapsByOccupationalSeriesAndRacialEthnicGroup[[#This Row],[AIAN Female Employees]]/I$318,"")</f>
        <v/>
      </c>
      <c r="I64" t="s">
        <v>0</v>
      </c>
      <c r="J64" s="6" t="s">
        <v>0</v>
      </c>
      <c r="K64" s="52" t="str">
        <f>IFERROR(FemalePayGapsByOccupationalSeriesAndRacialEthnicGroup[[#This Row],[AIAN Female Avg Salary]]/FemalePayGapsByOccupationalSeriesAndRacialEthnicGroup[[#This Row],[White Male Average Salary]],"")</f>
        <v/>
      </c>
      <c r="L64" s="10" t="str">
        <f>IFERROR(FemalePayGapsByOccupationalSeriesAndRacialEthnicGroup[[#This Row],[ANHPI Female Employees]]/M$318,"")</f>
        <v/>
      </c>
      <c r="M64" s="8" t="s">
        <v>0</v>
      </c>
      <c r="N64" s="6" t="s">
        <v>0</v>
      </c>
      <c r="O64" s="52" t="str">
        <f>IFERROR(FemalePayGapsByOccupationalSeriesAndRacialEthnicGroup[[#This Row],[ANHPI Female Avg Salary]]/FemalePayGapsByOccupationalSeriesAndRacialEthnicGroup[[#This Row],[White Male Average Salary]],"")</f>
        <v/>
      </c>
      <c r="P64" s="10" t="str">
        <f>IFERROR(FemalePayGapsByOccupationalSeriesAndRacialEthnicGroup[[#This Row],[Black Female Employees]]/Q$318,"")</f>
        <v/>
      </c>
      <c r="Q64" s="8" t="s">
        <v>0</v>
      </c>
      <c r="R64" s="6" t="s">
        <v>0</v>
      </c>
      <c r="S64" s="52" t="str">
        <f>IFERROR(FemalePayGapsByOccupationalSeriesAndRacialEthnicGroup[[#This Row],[Black Female Avg Salary]]/FemalePayGapsByOccupationalSeriesAndRacialEthnicGroup[[#This Row],[White Male Average Salary]],"")</f>
        <v/>
      </c>
      <c r="T64" s="10" t="str">
        <f>IFERROR(FemalePayGapsByOccupationalSeriesAndRacialEthnicGroup[[#This Row],[Hispanic Latino Female Employees]]/U$318,"")</f>
        <v/>
      </c>
      <c r="U64" s="8" t="s">
        <v>0</v>
      </c>
      <c r="V64" s="6" t="s">
        <v>0</v>
      </c>
      <c r="W6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64" s="10" t="str">
        <f>IFERROR(FemalePayGapsByOccupationalSeriesAndRacialEthnicGroup[[#This Row],[Other Female Employees]]/Y$318,"")</f>
        <v/>
      </c>
      <c r="Y64" s="8" t="s">
        <v>0</v>
      </c>
      <c r="Z64" s="6" t="s">
        <v>0</v>
      </c>
      <c r="AA6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65" spans="1:27" ht="15.6" x14ac:dyDescent="0.3">
      <c r="A65" s="46" t="s">
        <v>76</v>
      </c>
      <c r="B65" s="40">
        <v>8584</v>
      </c>
      <c r="C65" s="41">
        <v>101869.804335159</v>
      </c>
      <c r="D65" s="70">
        <f>IFERROR(FemalePayGapsByOccupationalSeriesAndRacialEthnicGroup[[#This Row],[White Female Employees]]/E$318,"")</f>
        <v>1.5347274248737126E-2</v>
      </c>
      <c r="E65" s="16">
        <v>7006</v>
      </c>
      <c r="F65" s="17">
        <v>101241.860813704</v>
      </c>
      <c r="G65" s="18">
        <f>IFERROR(FemalePayGapsByOccupationalSeriesAndRacialEthnicGroup[[#This Row],[White Female Avg Salary]]/FemalePayGapsByOccupationalSeriesAndRacialEthnicGroup[[#This Row],[White Male Average Salary]],"")</f>
        <v>0.99383582283726568</v>
      </c>
      <c r="H65" s="10">
        <f>IFERROR(FemalePayGapsByOccupationalSeriesAndRacialEthnicGroup[[#This Row],[AIAN Female Employees]]/I$318,"")</f>
        <v>5.4103343465045596E-3</v>
      </c>
      <c r="I65">
        <v>89</v>
      </c>
      <c r="J65" s="6">
        <v>93316.921348314994</v>
      </c>
      <c r="K65" s="52">
        <f>IFERROR(FemalePayGapsByOccupationalSeriesAndRacialEthnicGroup[[#This Row],[AIAN Female Avg Salary]]/FemalePayGapsByOccupationalSeriesAndRacialEthnicGroup[[#This Row],[White Male Average Salary]],"")</f>
        <v>0.91604103843466311</v>
      </c>
      <c r="L65" s="10">
        <f>IFERROR(FemalePayGapsByOccupationalSeriesAndRacialEthnicGroup[[#This Row],[ANHPI Female Employees]]/M$318,"")</f>
        <v>1.4745538149793468E-2</v>
      </c>
      <c r="M65" s="8">
        <v>946</v>
      </c>
      <c r="N65" s="6">
        <v>112790.837209302</v>
      </c>
      <c r="O65" s="52">
        <f>IFERROR(FemalePayGapsByOccupationalSeriesAndRacialEthnicGroup[[#This Row],[ANHPI Female Avg Salary]]/FemalePayGapsByOccupationalSeriesAndRacialEthnicGroup[[#This Row],[White Male Average Salary]],"")</f>
        <v>1.1072057902282015</v>
      </c>
      <c r="P65" s="10">
        <f>IFERROR(FemalePayGapsByOccupationalSeriesAndRacialEthnicGroup[[#This Row],[Black Female Employees]]/Q$318,"")</f>
        <v>2.7707150155644798E-3</v>
      </c>
      <c r="Q65" s="8">
        <v>583</v>
      </c>
      <c r="R65" s="6">
        <v>104185.897084048</v>
      </c>
      <c r="S65" s="52">
        <f>IFERROR(FemalePayGapsByOccupationalSeriesAndRacialEthnicGroup[[#This Row],[Black Female Avg Salary]]/FemalePayGapsByOccupationalSeriesAndRacialEthnicGroup[[#This Row],[White Male Average Salary]],"")</f>
        <v>1.0227358122851486</v>
      </c>
      <c r="T65" s="10">
        <f>IFERROR(FemalePayGapsByOccupationalSeriesAndRacialEthnicGroup[[#This Row],[Hispanic Latino Female Employees]]/U$318,"")</f>
        <v>1.0600797303013601E-2</v>
      </c>
      <c r="U65" s="8">
        <v>827</v>
      </c>
      <c r="V65" s="6">
        <v>94699.224909311</v>
      </c>
      <c r="W65" s="52">
        <f>IFERROR(FemalePayGapsByOccupationalSeriesAndRacialEthnicGroup[[#This Row],[Hispanic Latino Female Avg Salary]]/FemalePayGapsByOccupationalSeriesAndRacialEthnicGroup[[#This Row],[White Male Average Salary]],"")</f>
        <v>0.92961035438670048</v>
      </c>
      <c r="X65" s="10">
        <f>IFERROR(FemalePayGapsByOccupationalSeriesAndRacialEthnicGroup[[#This Row],[Other Female Employees]]/Y$318,"")</f>
        <v>1.1079079758069075E-2</v>
      </c>
      <c r="Y65" s="8">
        <v>196</v>
      </c>
      <c r="Z65" s="6">
        <v>95972.392857143001</v>
      </c>
      <c r="AA65" s="1">
        <f>IFERROR(FemalePayGapsByOccupationalSeriesAndRacialEthnicGroup[[#This Row],[Other Female Avg Salary]]/FemalePayGapsByOccupationalSeriesAndRacialEthnicGroup[[#This Row],[White Male Average Salary]],"")</f>
        <v>0.94210834587830272</v>
      </c>
    </row>
    <row r="66" spans="1:27" ht="15.6" x14ac:dyDescent="0.3">
      <c r="A66" s="45" t="s">
        <v>77</v>
      </c>
      <c r="B66" s="38">
        <v>524</v>
      </c>
      <c r="C66" s="39">
        <v>127392.39196940701</v>
      </c>
      <c r="D66" s="69">
        <f>IFERROR(FemalePayGapsByOccupationalSeriesAndRacialEthnicGroup[[#This Row],[White Female Employees]]/E$318,"")</f>
        <v>1.2552081279655113E-3</v>
      </c>
      <c r="E66" s="67">
        <v>573</v>
      </c>
      <c r="F66" s="64">
        <v>119014.80802792301</v>
      </c>
      <c r="G66" s="72">
        <f>IFERROR(FemalePayGapsByOccupationalSeriesAndRacialEthnicGroup[[#This Row],[White Female Avg Salary]]/FemalePayGapsByOccupationalSeriesAndRacialEthnicGroup[[#This Row],[White Male Average Salary]],"")</f>
        <v>0.93423795713408175</v>
      </c>
      <c r="H66" s="10" t="str">
        <f>IFERROR(FemalePayGapsByOccupationalSeriesAndRacialEthnicGroup[[#This Row],[AIAN Female Employees]]/I$318,"")</f>
        <v/>
      </c>
      <c r="I66" t="s">
        <v>0</v>
      </c>
      <c r="J66" s="6" t="s">
        <v>0</v>
      </c>
      <c r="K66" s="52" t="str">
        <f>IFERROR(FemalePayGapsByOccupationalSeriesAndRacialEthnicGroup[[#This Row],[AIAN Female Avg Salary]]/FemalePayGapsByOccupationalSeriesAndRacialEthnicGroup[[#This Row],[White Male Average Salary]],"")</f>
        <v/>
      </c>
      <c r="L66" s="10">
        <f>IFERROR(FemalePayGapsByOccupationalSeriesAndRacialEthnicGroup[[#This Row],[ANHPI Female Employees]]/M$318,"")</f>
        <v>2.6654196866962823E-3</v>
      </c>
      <c r="M66" s="8">
        <v>171</v>
      </c>
      <c r="N66" s="6">
        <v>123468.847953216</v>
      </c>
      <c r="O66" s="52">
        <f>IFERROR(FemalePayGapsByOccupationalSeriesAndRacialEthnicGroup[[#This Row],[ANHPI Female Avg Salary]]/FemalePayGapsByOccupationalSeriesAndRacialEthnicGroup[[#This Row],[White Male Average Salary]],"")</f>
        <v>0.9692011119695968</v>
      </c>
      <c r="P66" s="10">
        <f>IFERROR(FemalePayGapsByOccupationalSeriesAndRacialEthnicGroup[[#This Row],[Black Female Employees]]/Q$318,"")</f>
        <v>4.7525128911912176E-4</v>
      </c>
      <c r="Q66" s="8">
        <v>100</v>
      </c>
      <c r="R66" s="6">
        <v>111726.2</v>
      </c>
      <c r="S66" s="52">
        <f>IFERROR(FemalePayGapsByOccupationalSeriesAndRacialEthnicGroup[[#This Row],[Black Female Avg Salary]]/FemalePayGapsByOccupationalSeriesAndRacialEthnicGroup[[#This Row],[White Male Average Salary]],"")</f>
        <v>0.87702411637604538</v>
      </c>
      <c r="T66" s="10">
        <f>IFERROR(FemalePayGapsByOccupationalSeriesAndRacialEthnicGroup[[#This Row],[Hispanic Latino Female Employees]]/U$318,"")</f>
        <v>7.3064745619319852E-4</v>
      </c>
      <c r="U66" s="8">
        <v>57</v>
      </c>
      <c r="V66" s="6">
        <v>113231.596491228</v>
      </c>
      <c r="W66" s="52">
        <f>IFERROR(FemalePayGapsByOccupationalSeriesAndRacialEthnicGroup[[#This Row],[Hispanic Latino Female Avg Salary]]/FemalePayGapsByOccupationalSeriesAndRacialEthnicGroup[[#This Row],[White Male Average Salary]],"")</f>
        <v>0.8888411210492092</v>
      </c>
      <c r="X66" s="10" t="str">
        <f>IFERROR(FemalePayGapsByOccupationalSeriesAndRacialEthnicGroup[[#This Row],[Other Female Employees]]/Y$318,"")</f>
        <v/>
      </c>
      <c r="Y66" s="8" t="s">
        <v>0</v>
      </c>
      <c r="Z66" s="6" t="s">
        <v>0</v>
      </c>
      <c r="AA6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67" spans="1:27" ht="15.6" x14ac:dyDescent="0.3">
      <c r="A67" s="46" t="s">
        <v>78</v>
      </c>
      <c r="B67" s="40">
        <v>1039</v>
      </c>
      <c r="C67" s="41">
        <v>60858.550626807999</v>
      </c>
      <c r="D67" s="70">
        <f>IFERROR(FemalePayGapsByOccupationalSeriesAndRacialEthnicGroup[[#This Row],[White Female Employees]]/E$318,"")</f>
        <v>2.0043899425627276E-3</v>
      </c>
      <c r="E67" s="16">
        <v>915</v>
      </c>
      <c r="F67" s="17">
        <v>60424.661202185998</v>
      </c>
      <c r="G67" s="18">
        <f>IFERROR(FemalePayGapsByOccupationalSeriesAndRacialEthnicGroup[[#This Row],[White Female Avg Salary]]/FemalePayGapsByOccupationalSeriesAndRacialEthnicGroup[[#This Row],[White Male Average Salary]],"")</f>
        <v>0.99287052648883045</v>
      </c>
      <c r="H67" s="10" t="str">
        <f>IFERROR(FemalePayGapsByOccupationalSeriesAndRacialEthnicGroup[[#This Row],[AIAN Female Employees]]/I$318,"")</f>
        <v/>
      </c>
      <c r="I67" t="s">
        <v>0</v>
      </c>
      <c r="J67" s="6" t="s">
        <v>0</v>
      </c>
      <c r="K67" s="52" t="str">
        <f>IFERROR(FemalePayGapsByOccupationalSeriesAndRacialEthnicGroup[[#This Row],[AIAN Female Avg Salary]]/FemalePayGapsByOccupationalSeriesAndRacialEthnicGroup[[#This Row],[White Male Average Salary]],"")</f>
        <v/>
      </c>
      <c r="L67" s="10">
        <f>IFERROR(FemalePayGapsByOccupationalSeriesAndRacialEthnicGroup[[#This Row],[ANHPI Female Employees]]/M$318,"")</f>
        <v>1.137869222975606E-3</v>
      </c>
      <c r="M67" s="8">
        <v>73</v>
      </c>
      <c r="N67" s="6">
        <v>64988.931506849003</v>
      </c>
      <c r="O67" s="52">
        <f>IFERROR(FemalePayGapsByOccupationalSeriesAndRacialEthnicGroup[[#This Row],[ANHPI Female Avg Salary]]/FemalePayGapsByOccupationalSeriesAndRacialEthnicGroup[[#This Row],[White Male Average Salary]],"")</f>
        <v>1.0678685383976527</v>
      </c>
      <c r="P67" s="10">
        <f>IFERROR(FemalePayGapsByOccupationalSeriesAndRacialEthnicGroup[[#This Row],[Black Female Employees]]/Q$318,"")</f>
        <v>3.3742841527457641E-4</v>
      </c>
      <c r="Q67" s="8">
        <v>71</v>
      </c>
      <c r="R67" s="6">
        <v>67798.478873239001</v>
      </c>
      <c r="S67" s="52">
        <f>IFERROR(FemalePayGapsByOccupationalSeriesAndRacialEthnicGroup[[#This Row],[Black Female Avg Salary]]/FemalePayGapsByOccupationalSeriesAndRacialEthnicGroup[[#This Row],[White Male Average Salary]],"")</f>
        <v>1.1140337417660089</v>
      </c>
      <c r="T67" s="10">
        <f>IFERROR(FemalePayGapsByOccupationalSeriesAndRacialEthnicGroup[[#This Row],[Hispanic Latino Female Employees]]/U$318,"")</f>
        <v>8.3319446758873519E-4</v>
      </c>
      <c r="U67" s="8">
        <v>65</v>
      </c>
      <c r="V67" s="6">
        <v>57641.123076923002</v>
      </c>
      <c r="W67" s="52">
        <f>IFERROR(FemalePayGapsByOccupationalSeriesAndRacialEthnicGroup[[#This Row],[Hispanic Latino Female Avg Salary]]/FemalePayGapsByOccupationalSeriesAndRacialEthnicGroup[[#This Row],[White Male Average Salary]],"")</f>
        <v>0.94713269513080167</v>
      </c>
      <c r="X67" s="10" t="str">
        <f>IFERROR(FemalePayGapsByOccupationalSeriesAndRacialEthnicGroup[[#This Row],[Other Female Employees]]/Y$318,"")</f>
        <v/>
      </c>
      <c r="Y67" s="8" t="s">
        <v>0</v>
      </c>
      <c r="Z67" s="6" t="s">
        <v>0</v>
      </c>
      <c r="AA6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68" spans="1:27" ht="15.6" x14ac:dyDescent="0.3">
      <c r="A68" s="45" t="s">
        <v>79</v>
      </c>
      <c r="B68" s="38">
        <v>92</v>
      </c>
      <c r="C68" s="39">
        <v>164875.652173913</v>
      </c>
      <c r="D68" s="69">
        <f>IFERROR(FemalePayGapsByOccupationalSeriesAndRacialEthnicGroup[[#This Row],[White Female Employees]]/E$318,"")</f>
        <v>2.1467782991382219E-4</v>
      </c>
      <c r="E68" s="67">
        <v>98</v>
      </c>
      <c r="F68" s="64">
        <v>161417.714285714</v>
      </c>
      <c r="G68" s="72">
        <f>IFERROR(FemalePayGapsByOccupationalSeriesAndRacialEthnicGroup[[#This Row],[White Female Avg Salary]]/FemalePayGapsByOccupationalSeriesAndRacialEthnicGroup[[#This Row],[White Male Average Salary]],"")</f>
        <v>0.97902699493463397</v>
      </c>
      <c r="H68" s="10" t="str">
        <f>IFERROR(FemalePayGapsByOccupationalSeriesAndRacialEthnicGroup[[#This Row],[AIAN Female Employees]]/I$318,"")</f>
        <v/>
      </c>
      <c r="I68" t="s">
        <v>0</v>
      </c>
      <c r="J68" s="6" t="s">
        <v>0</v>
      </c>
      <c r="K68" s="52" t="str">
        <f>IFERROR(FemalePayGapsByOccupationalSeriesAndRacialEthnicGroup[[#This Row],[AIAN Female Avg Salary]]/FemalePayGapsByOccupationalSeriesAndRacialEthnicGroup[[#This Row],[White Male Average Salary]],"")</f>
        <v/>
      </c>
      <c r="L68" s="10">
        <f>IFERROR(FemalePayGapsByOccupationalSeriesAndRacialEthnicGroup[[#This Row],[ANHPI Female Employees]]/M$318,"")</f>
        <v>2.0107552022445639E-3</v>
      </c>
      <c r="M68" s="8">
        <v>129</v>
      </c>
      <c r="N68" s="6">
        <v>154590.837209302</v>
      </c>
      <c r="O68" s="52">
        <f>IFERROR(FemalePayGapsByOccupationalSeriesAndRacialEthnicGroup[[#This Row],[ANHPI Female Avg Salary]]/FemalePayGapsByOccupationalSeriesAndRacialEthnicGroup[[#This Row],[White Male Average Salary]],"")</f>
        <v>0.9376207776648402</v>
      </c>
      <c r="P68" s="10" t="str">
        <f>IFERROR(FemalePayGapsByOccupationalSeriesAndRacialEthnicGroup[[#This Row],[Black Female Employees]]/Q$318,"")</f>
        <v/>
      </c>
      <c r="Q68" s="8" t="s">
        <v>0</v>
      </c>
      <c r="R68" s="6" t="s">
        <v>0</v>
      </c>
      <c r="S68" s="52" t="str">
        <f>IFERROR(FemalePayGapsByOccupationalSeriesAndRacialEthnicGroup[[#This Row],[Black Female Avg Salary]]/FemalePayGapsByOccupationalSeriesAndRacialEthnicGroup[[#This Row],[White Male Average Salary]],"")</f>
        <v/>
      </c>
      <c r="T68" s="10" t="str">
        <f>IFERROR(FemalePayGapsByOccupationalSeriesAndRacialEthnicGroup[[#This Row],[Hispanic Latino Female Employees]]/U$318,"")</f>
        <v/>
      </c>
      <c r="U68" s="8" t="s">
        <v>0</v>
      </c>
      <c r="V68" s="47" t="s">
        <v>0</v>
      </c>
      <c r="W6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68" s="10" t="str">
        <f>IFERROR(FemalePayGapsByOccupationalSeriesAndRacialEthnicGroup[[#This Row],[Other Female Employees]]/Y$318,"")</f>
        <v/>
      </c>
      <c r="Y68" s="8" t="s">
        <v>0</v>
      </c>
      <c r="Z68" s="6" t="s">
        <v>0</v>
      </c>
      <c r="AA6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69" spans="1:27" ht="15.6" x14ac:dyDescent="0.3">
      <c r="A69" s="46" t="s">
        <v>80</v>
      </c>
      <c r="B69" s="40">
        <v>576</v>
      </c>
      <c r="C69" s="41">
        <v>114797.25520833299</v>
      </c>
      <c r="D69" s="70">
        <f>IFERROR(FemalePayGapsByOccupationalSeriesAndRacialEthnicGroup[[#This Row],[White Female Employees]]/E$318,"")</f>
        <v>9.3976315339826244E-4</v>
      </c>
      <c r="E69" s="16">
        <v>429</v>
      </c>
      <c r="F69" s="17">
        <v>106509.33799533801</v>
      </c>
      <c r="G69" s="18">
        <f>IFERROR(FemalePayGapsByOccupationalSeriesAndRacialEthnicGroup[[#This Row],[White Female Avg Salary]]/FemalePayGapsByOccupationalSeriesAndRacialEthnicGroup[[#This Row],[White Male Average Salary]],"")</f>
        <v>0.92780387302854805</v>
      </c>
      <c r="H69" s="10" t="str">
        <f>IFERROR(FemalePayGapsByOccupationalSeriesAndRacialEthnicGroup[[#This Row],[AIAN Female Employees]]/I$318,"")</f>
        <v/>
      </c>
      <c r="I69" t="s">
        <v>0</v>
      </c>
      <c r="J69" s="6" t="s">
        <v>0</v>
      </c>
      <c r="K69" s="52" t="str">
        <f>IFERROR(FemalePayGapsByOccupationalSeriesAndRacialEthnicGroup[[#This Row],[AIAN Female Avg Salary]]/FemalePayGapsByOccupationalSeriesAndRacialEthnicGroup[[#This Row],[White Male Average Salary]],"")</f>
        <v/>
      </c>
      <c r="L69" s="10" t="str">
        <f>IFERROR(FemalePayGapsByOccupationalSeriesAndRacialEthnicGroup[[#This Row],[ANHPI Female Employees]]/M$318,"")</f>
        <v/>
      </c>
      <c r="M69" s="8" t="s">
        <v>0</v>
      </c>
      <c r="N69" s="6" t="s">
        <v>0</v>
      </c>
      <c r="O69" s="52" t="str">
        <f>IFERROR(FemalePayGapsByOccupationalSeriesAndRacialEthnicGroup[[#This Row],[ANHPI Female Avg Salary]]/FemalePayGapsByOccupationalSeriesAndRacialEthnicGroup[[#This Row],[White Male Average Salary]],"")</f>
        <v/>
      </c>
      <c r="P69" s="10" t="str">
        <f>IFERROR(FemalePayGapsByOccupationalSeriesAndRacialEthnicGroup[[#This Row],[Black Female Employees]]/Q$318,"")</f>
        <v/>
      </c>
      <c r="Q69" s="8" t="s">
        <v>0</v>
      </c>
      <c r="R69" s="6" t="s">
        <v>0</v>
      </c>
      <c r="S69" s="52" t="str">
        <f>IFERROR(FemalePayGapsByOccupationalSeriesAndRacialEthnicGroup[[#This Row],[Black Female Avg Salary]]/FemalePayGapsByOccupationalSeriesAndRacialEthnicGroup[[#This Row],[White Male Average Salary]],"")</f>
        <v/>
      </c>
      <c r="T69" s="10" t="str">
        <f>IFERROR(FemalePayGapsByOccupationalSeriesAndRacialEthnicGroup[[#This Row],[Hispanic Latino Female Employees]]/U$318,"")</f>
        <v/>
      </c>
      <c r="U69" s="8" t="s">
        <v>0</v>
      </c>
      <c r="V69" s="47" t="s">
        <v>0</v>
      </c>
      <c r="W6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69" s="10" t="str">
        <f>IFERROR(FemalePayGapsByOccupationalSeriesAndRacialEthnicGroup[[#This Row],[Other Female Employees]]/Y$318,"")</f>
        <v/>
      </c>
      <c r="Y69" s="8" t="s">
        <v>0</v>
      </c>
      <c r="Z69" s="6" t="s">
        <v>0</v>
      </c>
      <c r="AA6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70" spans="1:27" ht="15.6" x14ac:dyDescent="0.3">
      <c r="A70" s="45" t="s">
        <v>81</v>
      </c>
      <c r="B70" s="38">
        <v>99</v>
      </c>
      <c r="C70" s="39">
        <v>130507.464646465</v>
      </c>
      <c r="D70" s="69">
        <f>IFERROR(FemalePayGapsByOccupationalSeriesAndRacialEthnicGroup[[#This Row],[White Female Employees]]/E$318,"")</f>
        <v>1.2048245556387979E-4</v>
      </c>
      <c r="E70" s="67">
        <v>55</v>
      </c>
      <c r="F70" s="64">
        <v>119027.290909091</v>
      </c>
      <c r="G70" s="72">
        <f>IFERROR(FemalePayGapsByOccupationalSeriesAndRacialEthnicGroup[[#This Row],[White Female Avg Salary]]/FemalePayGapsByOccupationalSeriesAndRacialEthnicGroup[[#This Row],[White Male Average Salary]],"")</f>
        <v>0.91203435168652658</v>
      </c>
      <c r="H70" s="10" t="str">
        <f>IFERROR(FemalePayGapsByOccupationalSeriesAndRacialEthnicGroup[[#This Row],[AIAN Female Employees]]/I$318,"")</f>
        <v/>
      </c>
      <c r="I70" t="s">
        <v>0</v>
      </c>
      <c r="J70" s="6" t="s">
        <v>0</v>
      </c>
      <c r="K70" s="52" t="str">
        <f>IFERROR(FemalePayGapsByOccupationalSeriesAndRacialEthnicGroup[[#This Row],[AIAN Female Avg Salary]]/FemalePayGapsByOccupationalSeriesAndRacialEthnicGroup[[#This Row],[White Male Average Salary]],"")</f>
        <v/>
      </c>
      <c r="L70" s="10" t="str">
        <f>IFERROR(FemalePayGapsByOccupationalSeriesAndRacialEthnicGroup[[#This Row],[ANHPI Female Employees]]/M$318,"")</f>
        <v/>
      </c>
      <c r="M70" s="8" t="s">
        <v>0</v>
      </c>
      <c r="N70" s="6" t="s">
        <v>0</v>
      </c>
      <c r="O70" s="52" t="str">
        <f>IFERROR(FemalePayGapsByOccupationalSeriesAndRacialEthnicGroup[[#This Row],[ANHPI Female Avg Salary]]/FemalePayGapsByOccupationalSeriesAndRacialEthnicGroup[[#This Row],[White Male Average Salary]],"")</f>
        <v/>
      </c>
      <c r="P70" s="10" t="str">
        <f>IFERROR(FemalePayGapsByOccupationalSeriesAndRacialEthnicGroup[[#This Row],[Black Female Employees]]/Q$318,"")</f>
        <v/>
      </c>
      <c r="Q70" s="8" t="s">
        <v>0</v>
      </c>
      <c r="R70" s="6" t="s">
        <v>0</v>
      </c>
      <c r="S70" s="52" t="str">
        <f>IFERROR(FemalePayGapsByOccupationalSeriesAndRacialEthnicGroup[[#This Row],[Black Female Avg Salary]]/FemalePayGapsByOccupationalSeriesAndRacialEthnicGroup[[#This Row],[White Male Average Salary]],"")</f>
        <v/>
      </c>
      <c r="T70" s="10" t="str">
        <f>IFERROR(FemalePayGapsByOccupationalSeriesAndRacialEthnicGroup[[#This Row],[Hispanic Latino Female Employees]]/U$318,"")</f>
        <v/>
      </c>
      <c r="U70" s="8" t="s">
        <v>0</v>
      </c>
      <c r="V70" s="47" t="s">
        <v>0</v>
      </c>
      <c r="W7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70" s="10" t="str">
        <f>IFERROR(FemalePayGapsByOccupationalSeriesAndRacialEthnicGroup[[#This Row],[Other Female Employees]]/Y$318,"")</f>
        <v/>
      </c>
      <c r="Y70" s="8" t="s">
        <v>0</v>
      </c>
      <c r="Z70" s="6" t="s">
        <v>0</v>
      </c>
      <c r="AA7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71" spans="1:27" ht="15.6" x14ac:dyDescent="0.3">
      <c r="A71" s="46" t="s">
        <v>82</v>
      </c>
      <c r="B71" s="40">
        <v>240</v>
      </c>
      <c r="C71" s="41">
        <v>121345.0625</v>
      </c>
      <c r="D71" s="70">
        <f>IFERROR(FemalePayGapsByOccupationalSeriesAndRacialEthnicGroup[[#This Row],[White Female Employees]]/E$318,"")</f>
        <v>2.3001196062195234E-4</v>
      </c>
      <c r="E71" s="16">
        <v>105</v>
      </c>
      <c r="F71" s="17">
        <v>111818.085714286</v>
      </c>
      <c r="G71" s="18">
        <f>IFERROR(FemalePayGapsByOccupationalSeriesAndRacialEthnicGroup[[#This Row],[White Female Avg Salary]]/FemalePayGapsByOccupationalSeriesAndRacialEthnicGroup[[#This Row],[White Male Average Salary]],"")</f>
        <v>0.92148855017719411</v>
      </c>
      <c r="H71" s="10" t="str">
        <f>IFERROR(FemalePayGapsByOccupationalSeriesAndRacialEthnicGroup[[#This Row],[AIAN Female Employees]]/I$318,"")</f>
        <v/>
      </c>
      <c r="I71" t="s">
        <v>0</v>
      </c>
      <c r="J71" s="6" t="s">
        <v>0</v>
      </c>
      <c r="K71" s="52" t="str">
        <f>IFERROR(FemalePayGapsByOccupationalSeriesAndRacialEthnicGroup[[#This Row],[AIAN Female Avg Salary]]/FemalePayGapsByOccupationalSeriesAndRacialEthnicGroup[[#This Row],[White Male Average Salary]],"")</f>
        <v/>
      </c>
      <c r="L71" s="10" t="str">
        <f>IFERROR(FemalePayGapsByOccupationalSeriesAndRacialEthnicGroup[[#This Row],[ANHPI Female Employees]]/M$318,"")</f>
        <v/>
      </c>
      <c r="M71" s="8" t="s">
        <v>0</v>
      </c>
      <c r="N71" s="6" t="s">
        <v>0</v>
      </c>
      <c r="O71" s="52" t="str">
        <f>IFERROR(FemalePayGapsByOccupationalSeriesAndRacialEthnicGroup[[#This Row],[ANHPI Female Avg Salary]]/FemalePayGapsByOccupationalSeriesAndRacialEthnicGroup[[#This Row],[White Male Average Salary]],"")</f>
        <v/>
      </c>
      <c r="P71" s="10" t="str">
        <f>IFERROR(FemalePayGapsByOccupationalSeriesAndRacialEthnicGroup[[#This Row],[Black Female Employees]]/Q$318,"")</f>
        <v/>
      </c>
      <c r="Q71" s="8" t="s">
        <v>0</v>
      </c>
      <c r="R71" s="6" t="s">
        <v>0</v>
      </c>
      <c r="S71" s="52" t="str">
        <f>IFERROR(FemalePayGapsByOccupationalSeriesAndRacialEthnicGroup[[#This Row],[Black Female Avg Salary]]/FemalePayGapsByOccupationalSeriesAndRacialEthnicGroup[[#This Row],[White Male Average Salary]],"")</f>
        <v/>
      </c>
      <c r="T71" s="10" t="str">
        <f>IFERROR(FemalePayGapsByOccupationalSeriesAndRacialEthnicGroup[[#This Row],[Hispanic Latino Female Employees]]/U$318,"")</f>
        <v/>
      </c>
      <c r="U71" s="8" t="s">
        <v>0</v>
      </c>
      <c r="V71" s="47" t="s">
        <v>0</v>
      </c>
      <c r="W7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71" s="10" t="str">
        <f>IFERROR(FemalePayGapsByOccupationalSeriesAndRacialEthnicGroup[[#This Row],[Other Female Employees]]/Y$318,"")</f>
        <v/>
      </c>
      <c r="Y71" s="8" t="s">
        <v>0</v>
      </c>
      <c r="Z71" s="6" t="s">
        <v>0</v>
      </c>
      <c r="AA7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72" spans="1:27" ht="15.6" x14ac:dyDescent="0.3">
      <c r="A72" s="45" t="s">
        <v>83</v>
      </c>
      <c r="B72" s="38">
        <v>112</v>
      </c>
      <c r="C72" s="39">
        <v>143240.44642857101</v>
      </c>
      <c r="D72" s="69">
        <f>IFERROR(FemalePayGapsByOccupationalSeriesAndRacialEthnicGroup[[#This Row],[White Female Employees]]/E$318,"")</f>
        <v>2.6944258244285848E-4</v>
      </c>
      <c r="E72" s="67">
        <v>123</v>
      </c>
      <c r="F72" s="64">
        <v>139437.24590163899</v>
      </c>
      <c r="G72" s="72">
        <f>IFERROR(FemalePayGapsByOccupationalSeriesAndRacialEthnicGroup[[#This Row],[White Female Avg Salary]]/FemalePayGapsByOccupationalSeriesAndRacialEthnicGroup[[#This Row],[White Male Average Salary]],"")</f>
        <v>0.97344883640230384</v>
      </c>
      <c r="H72" s="10" t="str">
        <f>IFERROR(FemalePayGapsByOccupationalSeriesAndRacialEthnicGroup[[#This Row],[AIAN Female Employees]]/I$318,"")</f>
        <v/>
      </c>
      <c r="I72" t="s">
        <v>0</v>
      </c>
      <c r="J72" s="6" t="s">
        <v>0</v>
      </c>
      <c r="K72" s="52" t="str">
        <f>IFERROR(FemalePayGapsByOccupationalSeriesAndRacialEthnicGroup[[#This Row],[AIAN Female Avg Salary]]/FemalePayGapsByOccupationalSeriesAndRacialEthnicGroup[[#This Row],[White Male Average Salary]],"")</f>
        <v/>
      </c>
      <c r="L72" s="10" t="str">
        <f>IFERROR(FemalePayGapsByOccupationalSeriesAndRacialEthnicGroup[[#This Row],[ANHPI Female Employees]]/M$318,"")</f>
        <v/>
      </c>
      <c r="M72" s="8" t="s">
        <v>0</v>
      </c>
      <c r="N72" s="6" t="s">
        <v>0</v>
      </c>
      <c r="O72" s="52" t="str">
        <f>IFERROR(FemalePayGapsByOccupationalSeriesAndRacialEthnicGroup[[#This Row],[ANHPI Female Avg Salary]]/FemalePayGapsByOccupationalSeriesAndRacialEthnicGroup[[#This Row],[White Male Average Salary]],"")</f>
        <v/>
      </c>
      <c r="P72" s="10" t="str">
        <f>IFERROR(FemalePayGapsByOccupationalSeriesAndRacialEthnicGroup[[#This Row],[Black Female Employees]]/Q$318,"")</f>
        <v/>
      </c>
      <c r="Q72" s="8" t="s">
        <v>0</v>
      </c>
      <c r="R72" s="6" t="s">
        <v>0</v>
      </c>
      <c r="S72" s="52" t="str">
        <f>IFERROR(FemalePayGapsByOccupationalSeriesAndRacialEthnicGroup[[#This Row],[Black Female Avg Salary]]/FemalePayGapsByOccupationalSeriesAndRacialEthnicGroup[[#This Row],[White Male Average Salary]],"")</f>
        <v/>
      </c>
      <c r="T72" s="10" t="str">
        <f>IFERROR(FemalePayGapsByOccupationalSeriesAndRacialEthnicGroup[[#This Row],[Hispanic Latino Female Employees]]/U$318,"")</f>
        <v/>
      </c>
      <c r="U72" s="8" t="s">
        <v>0</v>
      </c>
      <c r="V72" s="47" t="s">
        <v>0</v>
      </c>
      <c r="W7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72" s="10" t="str">
        <f>IFERROR(FemalePayGapsByOccupationalSeriesAndRacialEthnicGroup[[#This Row],[Other Female Employees]]/Y$318,"")</f>
        <v/>
      </c>
      <c r="Y72" s="8" t="s">
        <v>0</v>
      </c>
      <c r="Z72" s="6" t="s">
        <v>0</v>
      </c>
      <c r="AA7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73" spans="1:27" ht="15.6" x14ac:dyDescent="0.3">
      <c r="A73" s="46" t="s">
        <v>84</v>
      </c>
      <c r="B73" s="40">
        <v>106</v>
      </c>
      <c r="C73" s="41">
        <v>92996.358490565995</v>
      </c>
      <c r="D73" s="70">
        <f>IFERROR(FemalePayGapsByOccupationalSeriesAndRacialEthnicGroup[[#This Row],[White Female Employees]]/E$318,"")</f>
        <v>3.0887320426376458E-4</v>
      </c>
      <c r="E73" s="16">
        <v>141</v>
      </c>
      <c r="F73" s="17">
        <v>82702.418439715999</v>
      </c>
      <c r="G73" s="18">
        <f>IFERROR(FemalePayGapsByOccupationalSeriesAndRacialEthnicGroup[[#This Row],[White Female Avg Salary]]/FemalePayGapsByOccupationalSeriesAndRacialEthnicGroup[[#This Row],[White Male Average Salary]],"")</f>
        <v>0.88930813831926259</v>
      </c>
      <c r="H73" s="10" t="str">
        <f>IFERROR(FemalePayGapsByOccupationalSeriesAndRacialEthnicGroup[[#This Row],[AIAN Female Employees]]/I$318,"")</f>
        <v/>
      </c>
      <c r="I73" t="s">
        <v>0</v>
      </c>
      <c r="J73" s="6" t="s">
        <v>0</v>
      </c>
      <c r="K73" s="52" t="str">
        <f>IFERROR(FemalePayGapsByOccupationalSeriesAndRacialEthnicGroup[[#This Row],[AIAN Female Avg Salary]]/FemalePayGapsByOccupationalSeriesAndRacialEthnicGroup[[#This Row],[White Male Average Salary]],"")</f>
        <v/>
      </c>
      <c r="L73" s="10" t="str">
        <f>IFERROR(FemalePayGapsByOccupationalSeriesAndRacialEthnicGroup[[#This Row],[ANHPI Female Employees]]/M$318,"")</f>
        <v/>
      </c>
      <c r="M73" s="8" t="s">
        <v>0</v>
      </c>
      <c r="N73" s="6" t="s">
        <v>0</v>
      </c>
      <c r="O73" s="52" t="str">
        <f>IFERROR(FemalePayGapsByOccupationalSeriesAndRacialEthnicGroup[[#This Row],[ANHPI Female Avg Salary]]/FemalePayGapsByOccupationalSeriesAndRacialEthnicGroup[[#This Row],[White Male Average Salary]],"")</f>
        <v/>
      </c>
      <c r="P73" s="10" t="str">
        <f>IFERROR(FemalePayGapsByOccupationalSeriesAndRacialEthnicGroup[[#This Row],[Black Female Employees]]/Q$318,"")</f>
        <v/>
      </c>
      <c r="Q73" s="8" t="s">
        <v>0</v>
      </c>
      <c r="R73" s="6" t="s">
        <v>0</v>
      </c>
      <c r="S73" s="52" t="str">
        <f>IFERROR(FemalePayGapsByOccupationalSeriesAndRacialEthnicGroup[[#This Row],[Black Female Avg Salary]]/FemalePayGapsByOccupationalSeriesAndRacialEthnicGroup[[#This Row],[White Male Average Salary]],"")</f>
        <v/>
      </c>
      <c r="T73" s="10" t="str">
        <f>IFERROR(FemalePayGapsByOccupationalSeriesAndRacialEthnicGroup[[#This Row],[Hispanic Latino Female Employees]]/U$318,"")</f>
        <v/>
      </c>
      <c r="U73" s="8" t="s">
        <v>0</v>
      </c>
      <c r="V73" s="47" t="s">
        <v>0</v>
      </c>
      <c r="W7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73" s="10" t="str">
        <f>IFERROR(FemalePayGapsByOccupationalSeriesAndRacialEthnicGroup[[#This Row],[Other Female Employees]]/Y$318,"")</f>
        <v/>
      </c>
      <c r="Y73" s="8" t="s">
        <v>0</v>
      </c>
      <c r="Z73" s="6" t="s">
        <v>0</v>
      </c>
      <c r="AA7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74" spans="1:27" ht="15.6" x14ac:dyDescent="0.3">
      <c r="A74" s="45" t="s">
        <v>85</v>
      </c>
      <c r="B74" s="38">
        <v>108</v>
      </c>
      <c r="C74" s="39">
        <v>128459.546296296</v>
      </c>
      <c r="D74" s="69">
        <f>IFERROR(FemalePayGapsByOccupationalSeriesAndRacialEthnicGroup[[#This Row],[White Female Employees]]/E$318,"")</f>
        <v>1.2705422586736415E-4</v>
      </c>
      <c r="E74" s="67">
        <v>58</v>
      </c>
      <c r="F74" s="64">
        <v>113077.793103448</v>
      </c>
      <c r="G74" s="72">
        <f>IFERROR(FemalePayGapsByOccupationalSeriesAndRacialEthnicGroup[[#This Row],[White Female Avg Salary]]/FemalePayGapsByOccupationalSeriesAndRacialEthnicGroup[[#This Row],[White Male Average Salary]],"")</f>
        <v>0.8802599445792102</v>
      </c>
      <c r="H74" s="10" t="str">
        <f>IFERROR(FemalePayGapsByOccupationalSeriesAndRacialEthnicGroup[[#This Row],[AIAN Female Employees]]/I$318,"")</f>
        <v/>
      </c>
      <c r="I74" t="s">
        <v>0</v>
      </c>
      <c r="J74" s="6" t="s">
        <v>0</v>
      </c>
      <c r="K74" s="52" t="str">
        <f>IFERROR(FemalePayGapsByOccupationalSeriesAndRacialEthnicGroup[[#This Row],[AIAN Female Avg Salary]]/FemalePayGapsByOccupationalSeriesAndRacialEthnicGroup[[#This Row],[White Male Average Salary]],"")</f>
        <v/>
      </c>
      <c r="L74" s="10" t="str">
        <f>IFERROR(FemalePayGapsByOccupationalSeriesAndRacialEthnicGroup[[#This Row],[ANHPI Female Employees]]/M$318,"")</f>
        <v/>
      </c>
      <c r="M74" s="8" t="s">
        <v>0</v>
      </c>
      <c r="N74" s="6" t="s">
        <v>0</v>
      </c>
      <c r="O74" s="52" t="str">
        <f>IFERROR(FemalePayGapsByOccupationalSeriesAndRacialEthnicGroup[[#This Row],[ANHPI Female Avg Salary]]/FemalePayGapsByOccupationalSeriesAndRacialEthnicGroup[[#This Row],[White Male Average Salary]],"")</f>
        <v/>
      </c>
      <c r="P74" s="10" t="str">
        <f>IFERROR(FemalePayGapsByOccupationalSeriesAndRacialEthnicGroup[[#This Row],[Black Female Employees]]/Q$318,"")</f>
        <v/>
      </c>
      <c r="Q74" s="8" t="s">
        <v>0</v>
      </c>
      <c r="R74" s="6" t="s">
        <v>0</v>
      </c>
      <c r="S74" s="52" t="str">
        <f>IFERROR(FemalePayGapsByOccupationalSeriesAndRacialEthnicGroup[[#This Row],[Black Female Avg Salary]]/FemalePayGapsByOccupationalSeriesAndRacialEthnicGroup[[#This Row],[White Male Average Salary]],"")</f>
        <v/>
      </c>
      <c r="T74" s="10" t="str">
        <f>IFERROR(FemalePayGapsByOccupationalSeriesAndRacialEthnicGroup[[#This Row],[Hispanic Latino Female Employees]]/U$318,"")</f>
        <v/>
      </c>
      <c r="U74" s="8" t="s">
        <v>0</v>
      </c>
      <c r="V74" s="47" t="s">
        <v>0</v>
      </c>
      <c r="W7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74" s="10" t="str">
        <f>IFERROR(FemalePayGapsByOccupationalSeriesAndRacialEthnicGroup[[#This Row],[Other Female Employees]]/Y$318,"")</f>
        <v/>
      </c>
      <c r="Y74" s="8" t="s">
        <v>0</v>
      </c>
      <c r="Z74" s="6" t="s">
        <v>0</v>
      </c>
      <c r="AA7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75" spans="1:27" ht="15.6" x14ac:dyDescent="0.3">
      <c r="A75" s="46" t="s">
        <v>86</v>
      </c>
      <c r="B75" s="40">
        <v>57</v>
      </c>
      <c r="C75" s="41">
        <v>99890.192982456007</v>
      </c>
      <c r="D75" s="70">
        <f>IFERROR(FemalePayGapsByOccupationalSeriesAndRacialEthnicGroup[[#This Row],[White Female Employees]]/E$318,"")</f>
        <v>1.029577347545882E-4</v>
      </c>
      <c r="E75" s="16">
        <v>47</v>
      </c>
      <c r="F75" s="17">
        <v>93993.723404254997</v>
      </c>
      <c r="G75" s="18">
        <f>IFERROR(FemalePayGapsByOccupationalSeriesAndRacialEthnicGroup[[#This Row],[White Female Avg Salary]]/FemalePayGapsByOccupationalSeriesAndRacialEthnicGroup[[#This Row],[White Male Average Salary]],"")</f>
        <v>0.94097048566883212</v>
      </c>
      <c r="H75" s="10" t="str">
        <f>IFERROR(FemalePayGapsByOccupationalSeriesAndRacialEthnicGroup[[#This Row],[AIAN Female Employees]]/I$318,"")</f>
        <v/>
      </c>
      <c r="I75" t="s">
        <v>0</v>
      </c>
      <c r="J75" s="6" t="s">
        <v>0</v>
      </c>
      <c r="K75" s="52" t="str">
        <f>IFERROR(FemalePayGapsByOccupationalSeriesAndRacialEthnicGroup[[#This Row],[AIAN Female Avg Salary]]/FemalePayGapsByOccupationalSeriesAndRacialEthnicGroup[[#This Row],[White Male Average Salary]],"")</f>
        <v/>
      </c>
      <c r="L75" s="10" t="str">
        <f>IFERROR(FemalePayGapsByOccupationalSeriesAndRacialEthnicGroup[[#This Row],[ANHPI Female Employees]]/M$318,"")</f>
        <v/>
      </c>
      <c r="M75" s="8" t="s">
        <v>0</v>
      </c>
      <c r="N75" s="6" t="s">
        <v>0</v>
      </c>
      <c r="O75" s="52" t="str">
        <f>IFERROR(FemalePayGapsByOccupationalSeriesAndRacialEthnicGroup[[#This Row],[ANHPI Female Avg Salary]]/FemalePayGapsByOccupationalSeriesAndRacialEthnicGroup[[#This Row],[White Male Average Salary]],"")</f>
        <v/>
      </c>
      <c r="P75" s="10" t="str">
        <f>IFERROR(FemalePayGapsByOccupationalSeriesAndRacialEthnicGroup[[#This Row],[Black Female Employees]]/Q$318,"")</f>
        <v/>
      </c>
      <c r="Q75" s="8" t="s">
        <v>0</v>
      </c>
      <c r="R75" s="6" t="s">
        <v>0</v>
      </c>
      <c r="S75" s="52" t="str">
        <f>IFERROR(FemalePayGapsByOccupationalSeriesAndRacialEthnicGroup[[#This Row],[Black Female Avg Salary]]/FemalePayGapsByOccupationalSeriesAndRacialEthnicGroup[[#This Row],[White Male Average Salary]],"")</f>
        <v/>
      </c>
      <c r="T75" s="10" t="str">
        <f>IFERROR(FemalePayGapsByOccupationalSeriesAndRacialEthnicGroup[[#This Row],[Hispanic Latino Female Employees]]/U$318,"")</f>
        <v/>
      </c>
      <c r="U75" s="8" t="s">
        <v>0</v>
      </c>
      <c r="V75" s="47" t="s">
        <v>0</v>
      </c>
      <c r="W7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75" s="10" t="str">
        <f>IFERROR(FemalePayGapsByOccupationalSeriesAndRacialEthnicGroup[[#This Row],[Other Female Employees]]/Y$318,"")</f>
        <v/>
      </c>
      <c r="Y75" s="8" t="s">
        <v>0</v>
      </c>
      <c r="Z75" s="6" t="s">
        <v>0</v>
      </c>
      <c r="AA7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76" spans="1:27" ht="15.6" x14ac:dyDescent="0.3">
      <c r="A76" s="45" t="s">
        <v>87</v>
      </c>
      <c r="B76" s="38">
        <v>183</v>
      </c>
      <c r="C76" s="39">
        <v>127192.021857923</v>
      </c>
      <c r="D76" s="69">
        <f>IFERROR(FemalePayGapsByOccupationalSeriesAndRacialEthnicGroup[[#This Row],[White Female Employees]]/E$318,"")</f>
        <v>2.1467782991382219E-4</v>
      </c>
      <c r="E76" s="67">
        <v>98</v>
      </c>
      <c r="F76" s="64">
        <v>119692.44897959199</v>
      </c>
      <c r="G76" s="72">
        <f>IFERROR(FemalePayGapsByOccupationalSeriesAndRacialEthnicGroup[[#This Row],[White Female Avg Salary]]/FemalePayGapsByOccupationalSeriesAndRacialEthnicGroup[[#This Row],[White Male Average Salary]],"")</f>
        <v>0.9410373955159842</v>
      </c>
      <c r="H76" s="10" t="str">
        <f>IFERROR(FemalePayGapsByOccupationalSeriesAndRacialEthnicGroup[[#This Row],[AIAN Female Employees]]/I$318,"")</f>
        <v/>
      </c>
      <c r="I76" t="s">
        <v>0</v>
      </c>
      <c r="J76" s="6" t="s">
        <v>0</v>
      </c>
      <c r="K76" s="52" t="str">
        <f>IFERROR(FemalePayGapsByOccupationalSeriesAndRacialEthnicGroup[[#This Row],[AIAN Female Avg Salary]]/FemalePayGapsByOccupationalSeriesAndRacialEthnicGroup[[#This Row],[White Male Average Salary]],"")</f>
        <v/>
      </c>
      <c r="L76" s="10" t="str">
        <f>IFERROR(FemalePayGapsByOccupationalSeriesAndRacialEthnicGroup[[#This Row],[ANHPI Female Employees]]/M$318,"")</f>
        <v/>
      </c>
      <c r="M76" s="8" t="s">
        <v>0</v>
      </c>
      <c r="N76" s="6" t="s">
        <v>0</v>
      </c>
      <c r="O76" s="52" t="str">
        <f>IFERROR(FemalePayGapsByOccupationalSeriesAndRacialEthnicGroup[[#This Row],[ANHPI Female Avg Salary]]/FemalePayGapsByOccupationalSeriesAndRacialEthnicGroup[[#This Row],[White Male Average Salary]],"")</f>
        <v/>
      </c>
      <c r="P76" s="10" t="str">
        <f>IFERROR(FemalePayGapsByOccupationalSeriesAndRacialEthnicGroup[[#This Row],[Black Female Employees]]/Q$318,"")</f>
        <v/>
      </c>
      <c r="Q76" s="8" t="s">
        <v>0</v>
      </c>
      <c r="R76" s="6" t="s">
        <v>0</v>
      </c>
      <c r="S76" s="52" t="str">
        <f>IFERROR(FemalePayGapsByOccupationalSeriesAndRacialEthnicGroup[[#This Row],[Black Female Avg Salary]]/FemalePayGapsByOccupationalSeriesAndRacialEthnicGroup[[#This Row],[White Male Average Salary]],"")</f>
        <v/>
      </c>
      <c r="T76" s="10" t="str">
        <f>IFERROR(FemalePayGapsByOccupationalSeriesAndRacialEthnicGroup[[#This Row],[Hispanic Latino Female Employees]]/U$318,"")</f>
        <v/>
      </c>
      <c r="U76" s="8" t="s">
        <v>0</v>
      </c>
      <c r="V76" s="47" t="s">
        <v>0</v>
      </c>
      <c r="W7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76" s="10" t="str">
        <f>IFERROR(FemalePayGapsByOccupationalSeriesAndRacialEthnicGroup[[#This Row],[Other Female Employees]]/Y$318,"")</f>
        <v/>
      </c>
      <c r="Y76" s="8" t="s">
        <v>0</v>
      </c>
      <c r="Z76" s="6" t="s">
        <v>0</v>
      </c>
      <c r="AA7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77" spans="1:27" ht="15.6" x14ac:dyDescent="0.3">
      <c r="A77" s="46" t="s">
        <v>88</v>
      </c>
      <c r="B77" s="40">
        <v>493</v>
      </c>
      <c r="C77" s="41">
        <v>75998.377281947003</v>
      </c>
      <c r="D77" s="70">
        <f>IFERROR(FemalePayGapsByOccupationalSeriesAndRacialEthnicGroup[[#This Row],[White Female Employees]]/E$318,"")</f>
        <v>6.0460286792056049E-4</v>
      </c>
      <c r="E77" s="16">
        <v>276</v>
      </c>
      <c r="F77" s="17">
        <v>72053.771739129996</v>
      </c>
      <c r="G77" s="18">
        <f>IFERROR(FemalePayGapsByOccupationalSeriesAndRacialEthnicGroup[[#This Row],[White Female Avg Salary]]/FemalePayGapsByOccupationalSeriesAndRacialEthnicGroup[[#This Row],[White Male Average Salary]],"")</f>
        <v>0.94809618726222422</v>
      </c>
      <c r="H77" s="10" t="str">
        <f>IFERROR(FemalePayGapsByOccupationalSeriesAndRacialEthnicGroup[[#This Row],[AIAN Female Employees]]/I$318,"")</f>
        <v/>
      </c>
      <c r="I77" t="s">
        <v>0</v>
      </c>
      <c r="J77" s="6" t="s">
        <v>0</v>
      </c>
      <c r="K77" s="52" t="str">
        <f>IFERROR(FemalePayGapsByOccupationalSeriesAndRacialEthnicGroup[[#This Row],[AIAN Female Avg Salary]]/FemalePayGapsByOccupationalSeriesAndRacialEthnicGroup[[#This Row],[White Male Average Salary]],"")</f>
        <v/>
      </c>
      <c r="L77" s="10" t="str">
        <f>IFERROR(FemalePayGapsByOccupationalSeriesAndRacialEthnicGroup[[#This Row],[ANHPI Female Employees]]/M$318,"")</f>
        <v/>
      </c>
      <c r="M77" s="8" t="s">
        <v>0</v>
      </c>
      <c r="N77" s="6" t="s">
        <v>0</v>
      </c>
      <c r="O77" s="52" t="str">
        <f>IFERROR(FemalePayGapsByOccupationalSeriesAndRacialEthnicGroup[[#This Row],[ANHPI Female Avg Salary]]/FemalePayGapsByOccupationalSeriesAndRacialEthnicGroup[[#This Row],[White Male Average Salary]],"")</f>
        <v/>
      </c>
      <c r="P77" s="10" t="str">
        <f>IFERROR(FemalePayGapsByOccupationalSeriesAndRacialEthnicGroup[[#This Row],[Black Female Employees]]/Q$318,"")</f>
        <v/>
      </c>
      <c r="Q77" s="8" t="s">
        <v>0</v>
      </c>
      <c r="R77" s="6" t="s">
        <v>0</v>
      </c>
      <c r="S77" s="52" t="str">
        <f>IFERROR(FemalePayGapsByOccupationalSeriesAndRacialEthnicGroup[[#This Row],[Black Female Avg Salary]]/FemalePayGapsByOccupationalSeriesAndRacialEthnicGroup[[#This Row],[White Male Average Salary]],"")</f>
        <v/>
      </c>
      <c r="T77" s="10" t="str">
        <f>IFERROR(FemalePayGapsByOccupationalSeriesAndRacialEthnicGroup[[#This Row],[Hispanic Latino Female Employees]]/U$318,"")</f>
        <v/>
      </c>
      <c r="U77" s="8" t="s">
        <v>0</v>
      </c>
      <c r="V77" s="47" t="s">
        <v>0</v>
      </c>
      <c r="W7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77" s="10" t="str">
        <f>IFERROR(FemalePayGapsByOccupationalSeriesAndRacialEthnicGroup[[#This Row],[Other Female Employees]]/Y$318,"")</f>
        <v/>
      </c>
      <c r="Y77" s="8" t="s">
        <v>0</v>
      </c>
      <c r="Z77" s="6" t="s">
        <v>0</v>
      </c>
      <c r="AA7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78" spans="1:27" ht="15.6" x14ac:dyDescent="0.3">
      <c r="A78" s="45" t="s">
        <v>89</v>
      </c>
      <c r="B78" s="38">
        <v>85</v>
      </c>
      <c r="C78" s="39">
        <v>56920.447058824</v>
      </c>
      <c r="D78" s="69">
        <f>IFERROR(FemalePayGapsByOccupationalSeriesAndRacialEthnicGroup[[#This Row],[White Female Employees]]/E$318,"")</f>
        <v>1.2486363576620269E-4</v>
      </c>
      <c r="E78" s="67">
        <v>57</v>
      </c>
      <c r="F78" s="64">
        <v>52350.071428570998</v>
      </c>
      <c r="G78" s="72">
        <f>IFERROR(FemalePayGapsByOccupationalSeriesAndRacialEthnicGroup[[#This Row],[White Female Avg Salary]]/FemalePayGapsByOccupationalSeriesAndRacialEthnicGroup[[#This Row],[White Male Average Salary]],"")</f>
        <v>0.91970590769377158</v>
      </c>
      <c r="H78" s="10" t="str">
        <f>IFERROR(FemalePayGapsByOccupationalSeriesAndRacialEthnicGroup[[#This Row],[AIAN Female Employees]]/I$318,"")</f>
        <v/>
      </c>
      <c r="I78" t="s">
        <v>0</v>
      </c>
      <c r="J78" s="6" t="s">
        <v>0</v>
      </c>
      <c r="K78" s="52" t="str">
        <f>IFERROR(FemalePayGapsByOccupationalSeriesAndRacialEthnicGroup[[#This Row],[AIAN Female Avg Salary]]/FemalePayGapsByOccupationalSeriesAndRacialEthnicGroup[[#This Row],[White Male Average Salary]],"")</f>
        <v/>
      </c>
      <c r="L78" s="10" t="str">
        <f>IFERROR(FemalePayGapsByOccupationalSeriesAndRacialEthnicGroup[[#This Row],[ANHPI Female Employees]]/M$318,"")</f>
        <v/>
      </c>
      <c r="M78" s="8" t="s">
        <v>0</v>
      </c>
      <c r="N78" s="6" t="s">
        <v>0</v>
      </c>
      <c r="O78" s="52" t="str">
        <f>IFERROR(FemalePayGapsByOccupationalSeriesAndRacialEthnicGroup[[#This Row],[ANHPI Female Avg Salary]]/FemalePayGapsByOccupationalSeriesAndRacialEthnicGroup[[#This Row],[White Male Average Salary]],"")</f>
        <v/>
      </c>
      <c r="P78" s="10" t="str">
        <f>IFERROR(FemalePayGapsByOccupationalSeriesAndRacialEthnicGroup[[#This Row],[Black Female Employees]]/Q$318,"")</f>
        <v/>
      </c>
      <c r="Q78" s="8" t="s">
        <v>0</v>
      </c>
      <c r="R78" s="6" t="s">
        <v>0</v>
      </c>
      <c r="S78" s="52" t="str">
        <f>IFERROR(FemalePayGapsByOccupationalSeriesAndRacialEthnicGroup[[#This Row],[Black Female Avg Salary]]/FemalePayGapsByOccupationalSeriesAndRacialEthnicGroup[[#This Row],[White Male Average Salary]],"")</f>
        <v/>
      </c>
      <c r="T78" s="10" t="str">
        <f>IFERROR(FemalePayGapsByOccupationalSeriesAndRacialEthnicGroup[[#This Row],[Hispanic Latino Female Employees]]/U$318,"")</f>
        <v/>
      </c>
      <c r="U78" s="8" t="s">
        <v>0</v>
      </c>
      <c r="V78" s="47" t="s">
        <v>0</v>
      </c>
      <c r="W7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78" s="10" t="str">
        <f>IFERROR(FemalePayGapsByOccupationalSeriesAndRacialEthnicGroup[[#This Row],[Other Female Employees]]/Y$318,"")</f>
        <v/>
      </c>
      <c r="Y78" s="8" t="s">
        <v>0</v>
      </c>
      <c r="Z78" s="6" t="s">
        <v>0</v>
      </c>
      <c r="AA7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79" spans="1:27" ht="15.6" x14ac:dyDescent="0.3">
      <c r="A79" s="46" t="s">
        <v>90</v>
      </c>
      <c r="B79" s="40">
        <v>2311</v>
      </c>
      <c r="C79" s="41">
        <v>76917.506274340005</v>
      </c>
      <c r="D79" s="70">
        <f>IFERROR(FemalePayGapsByOccupationalSeriesAndRacialEthnicGroup[[#This Row],[White Female Employees]]/E$318,"")</f>
        <v>3.2530263002247544E-3</v>
      </c>
      <c r="E79" s="16">
        <v>1485</v>
      </c>
      <c r="F79" s="17">
        <v>72136.220202020006</v>
      </c>
      <c r="G79" s="18">
        <f>IFERROR(FemalePayGapsByOccupationalSeriesAndRacialEthnicGroup[[#This Row],[White Female Avg Salary]]/FemalePayGapsByOccupationalSeriesAndRacialEthnicGroup[[#This Row],[White Male Average Salary]],"")</f>
        <v>0.93783877944161775</v>
      </c>
      <c r="H79" s="10" t="str">
        <f>IFERROR(FemalePayGapsByOccupationalSeriesAndRacialEthnicGroup[[#This Row],[AIAN Female Employees]]/I$318,"")</f>
        <v/>
      </c>
      <c r="I79" t="s">
        <v>0</v>
      </c>
      <c r="J79" s="6" t="s">
        <v>0</v>
      </c>
      <c r="K79" s="52" t="str">
        <f>IFERROR(FemalePayGapsByOccupationalSeriesAndRacialEthnicGroup[[#This Row],[AIAN Female Avg Salary]]/FemalePayGapsByOccupationalSeriesAndRacialEthnicGroup[[#This Row],[White Male Average Salary]],"")</f>
        <v/>
      </c>
      <c r="L79" s="10" t="str">
        <f>IFERROR(FemalePayGapsByOccupationalSeriesAndRacialEthnicGroup[[#This Row],[ANHPI Female Employees]]/M$318,"")</f>
        <v/>
      </c>
      <c r="M79" s="8" t="s">
        <v>0</v>
      </c>
      <c r="N79" s="6" t="s">
        <v>0</v>
      </c>
      <c r="O79" s="52" t="str">
        <f>IFERROR(FemalePayGapsByOccupationalSeriesAndRacialEthnicGroup[[#This Row],[ANHPI Female Avg Salary]]/FemalePayGapsByOccupationalSeriesAndRacialEthnicGroup[[#This Row],[White Male Average Salary]],"")</f>
        <v/>
      </c>
      <c r="P79" s="10">
        <f>IFERROR(FemalePayGapsByOccupationalSeriesAndRacialEthnicGroup[[#This Row],[Black Female Employees]]/Q$318,"")</f>
        <v>5.5129149537818116E-4</v>
      </c>
      <c r="Q79" s="8">
        <v>116</v>
      </c>
      <c r="R79" s="6">
        <v>70721.629310345001</v>
      </c>
      <c r="S79" s="52">
        <f>IFERROR(FemalePayGapsByOccupationalSeriesAndRacialEthnicGroup[[#This Row],[Black Female Avg Salary]]/FemalePayGapsByOccupationalSeriesAndRacialEthnicGroup[[#This Row],[White Male Average Salary]],"")</f>
        <v>0.91944776600145739</v>
      </c>
      <c r="T79" s="10">
        <f>IFERROR(FemalePayGapsByOccupationalSeriesAndRacialEthnicGroup[[#This Row],[Hispanic Latino Female Employees]]/U$318,"")</f>
        <v>1.4741132888108392E-3</v>
      </c>
      <c r="U79" s="8">
        <v>115</v>
      </c>
      <c r="V79" s="6">
        <v>73756.460869564995</v>
      </c>
      <c r="W79" s="52">
        <f>IFERROR(FemalePayGapsByOccupationalSeriesAndRacialEthnicGroup[[#This Row],[Hispanic Latino Female Avg Salary]]/FemalePayGapsByOccupationalSeriesAndRacialEthnicGroup[[#This Row],[White Male Average Salary]],"")</f>
        <v>0.95890343358895991</v>
      </c>
      <c r="X79" s="10">
        <f>IFERROR(FemalePayGapsByOccupationalSeriesAndRacialEthnicGroup[[#This Row],[Other Female Employees]]/Y$318,"")</f>
        <v>2.4871403538522414E-3</v>
      </c>
      <c r="Y79" s="8">
        <v>44</v>
      </c>
      <c r="Z79" s="6">
        <v>69350.227272727003</v>
      </c>
      <c r="AA79" s="1">
        <f>IFERROR(FemalePayGapsByOccupationalSeriesAndRacialEthnicGroup[[#This Row],[Other Female Avg Salary]]/FemalePayGapsByOccupationalSeriesAndRacialEthnicGroup[[#This Row],[White Male Average Salary]],"")</f>
        <v>0.90161824832668191</v>
      </c>
    </row>
    <row r="80" spans="1:27" ht="15.6" x14ac:dyDescent="0.3">
      <c r="A80" s="45" t="s">
        <v>91</v>
      </c>
      <c r="B80" s="38">
        <v>566</v>
      </c>
      <c r="C80" s="39">
        <v>50735.379858656997</v>
      </c>
      <c r="D80" s="69">
        <f>IFERROR(FemalePayGapsByOccupationalSeriesAndRacialEthnicGroup[[#This Row],[White Female Employees]]/E$318,"")</f>
        <v>5.1478867377294094E-4</v>
      </c>
      <c r="E80" s="67">
        <v>235</v>
      </c>
      <c r="F80" s="64">
        <v>48728.012765956999</v>
      </c>
      <c r="G80" s="72">
        <f>IFERROR(FemalePayGapsByOccupationalSeriesAndRacialEthnicGroup[[#This Row],[White Female Avg Salary]]/FemalePayGapsByOccupationalSeriesAndRacialEthnicGroup[[#This Row],[White Male Average Salary]],"")</f>
        <v>0.96043457054441506</v>
      </c>
      <c r="H80" s="10" t="str">
        <f>IFERROR(FemalePayGapsByOccupationalSeriesAndRacialEthnicGroup[[#This Row],[AIAN Female Employees]]/I$318,"")</f>
        <v/>
      </c>
      <c r="I80" t="s">
        <v>0</v>
      </c>
      <c r="J80" s="6" t="s">
        <v>0</v>
      </c>
      <c r="K80" s="52" t="str">
        <f>IFERROR(FemalePayGapsByOccupationalSeriesAndRacialEthnicGroup[[#This Row],[AIAN Female Avg Salary]]/FemalePayGapsByOccupationalSeriesAndRacialEthnicGroup[[#This Row],[White Male Average Salary]],"")</f>
        <v/>
      </c>
      <c r="L80" s="10" t="str">
        <f>IFERROR(FemalePayGapsByOccupationalSeriesAndRacialEthnicGroup[[#This Row],[ANHPI Female Employees]]/M$318,"")</f>
        <v/>
      </c>
      <c r="M80" s="8" t="s">
        <v>0</v>
      </c>
      <c r="N80" s="6" t="s">
        <v>0</v>
      </c>
      <c r="O80" s="52" t="str">
        <f>IFERROR(FemalePayGapsByOccupationalSeriesAndRacialEthnicGroup[[#This Row],[ANHPI Female Avg Salary]]/FemalePayGapsByOccupationalSeriesAndRacialEthnicGroup[[#This Row],[White Male Average Salary]],"")</f>
        <v/>
      </c>
      <c r="P80" s="10" t="str">
        <f>IFERROR(FemalePayGapsByOccupationalSeriesAndRacialEthnicGroup[[#This Row],[Black Female Employees]]/Q$318,"")</f>
        <v/>
      </c>
      <c r="Q80" s="8" t="s">
        <v>0</v>
      </c>
      <c r="R80" s="6" t="s">
        <v>0</v>
      </c>
      <c r="S80" s="52" t="str">
        <f>IFERROR(FemalePayGapsByOccupationalSeriesAndRacialEthnicGroup[[#This Row],[Black Female Avg Salary]]/FemalePayGapsByOccupationalSeriesAndRacialEthnicGroup[[#This Row],[White Male Average Salary]],"")</f>
        <v/>
      </c>
      <c r="T80" s="10" t="str">
        <f>IFERROR(FemalePayGapsByOccupationalSeriesAndRacialEthnicGroup[[#This Row],[Hispanic Latino Female Employees]]/U$318,"")</f>
        <v/>
      </c>
      <c r="U80" s="8" t="s">
        <v>0</v>
      </c>
      <c r="V80" s="6" t="s">
        <v>0</v>
      </c>
      <c r="W8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80" s="10" t="str">
        <f>IFERROR(FemalePayGapsByOccupationalSeriesAndRacialEthnicGroup[[#This Row],[Other Female Employees]]/Y$318,"")</f>
        <v/>
      </c>
      <c r="Y80" s="8" t="s">
        <v>0</v>
      </c>
      <c r="Z80" s="6" t="s">
        <v>0</v>
      </c>
      <c r="AA8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81" spans="1:27" ht="15.6" x14ac:dyDescent="0.3">
      <c r="A81" s="46" t="s">
        <v>92</v>
      </c>
      <c r="B81" s="40">
        <v>1156</v>
      </c>
      <c r="C81" s="41">
        <v>79782.450216450001</v>
      </c>
      <c r="D81" s="70">
        <f>IFERROR(FemalePayGapsByOccupationalSeriesAndRacialEthnicGroup[[#This Row],[White Female Employees]]/E$318,"")</f>
        <v>7.1194178287747152E-4</v>
      </c>
      <c r="E81" s="16">
        <v>325</v>
      </c>
      <c r="F81" s="17">
        <v>76492.172307692003</v>
      </c>
      <c r="G81" s="18">
        <f>IFERROR(FemalePayGapsByOccupationalSeriesAndRacialEthnicGroup[[#This Row],[White Female Avg Salary]]/FemalePayGapsByOccupationalSeriesAndRacialEthnicGroup[[#This Row],[White Male Average Salary]],"")</f>
        <v>0.95875937753438922</v>
      </c>
      <c r="H81" s="10" t="str">
        <f>IFERROR(FemalePayGapsByOccupationalSeriesAndRacialEthnicGroup[[#This Row],[AIAN Female Employees]]/I$318,"")</f>
        <v/>
      </c>
      <c r="I81" t="s">
        <v>0</v>
      </c>
      <c r="J81" s="6" t="s">
        <v>0</v>
      </c>
      <c r="K81" s="52" t="str">
        <f>IFERROR(FemalePayGapsByOccupationalSeriesAndRacialEthnicGroup[[#This Row],[AIAN Female Avg Salary]]/FemalePayGapsByOccupationalSeriesAndRacialEthnicGroup[[#This Row],[White Male Average Salary]],"")</f>
        <v/>
      </c>
      <c r="L81" s="10" t="str">
        <f>IFERROR(FemalePayGapsByOccupationalSeriesAndRacialEthnicGroup[[#This Row],[ANHPI Female Employees]]/M$318,"")</f>
        <v/>
      </c>
      <c r="M81" s="8" t="s">
        <v>0</v>
      </c>
      <c r="N81" s="6" t="s">
        <v>0</v>
      </c>
      <c r="O81" s="52" t="str">
        <f>IFERROR(FemalePayGapsByOccupationalSeriesAndRacialEthnicGroup[[#This Row],[ANHPI Female Avg Salary]]/FemalePayGapsByOccupationalSeriesAndRacialEthnicGroup[[#This Row],[White Male Average Salary]],"")</f>
        <v/>
      </c>
      <c r="P81" s="10" t="str">
        <f>IFERROR(FemalePayGapsByOccupationalSeriesAndRacialEthnicGroup[[#This Row],[Black Female Employees]]/Q$318,"")</f>
        <v/>
      </c>
      <c r="Q81" s="8" t="s">
        <v>0</v>
      </c>
      <c r="R81" s="6" t="s">
        <v>0</v>
      </c>
      <c r="S81" s="52" t="str">
        <f>IFERROR(FemalePayGapsByOccupationalSeriesAndRacialEthnicGroup[[#This Row],[Black Female Avg Salary]]/FemalePayGapsByOccupationalSeriesAndRacialEthnicGroup[[#This Row],[White Male Average Salary]],"")</f>
        <v/>
      </c>
      <c r="T81" s="10" t="str">
        <f>IFERROR(FemalePayGapsByOccupationalSeriesAndRacialEthnicGroup[[#This Row],[Hispanic Latino Female Employees]]/U$318,"")</f>
        <v/>
      </c>
      <c r="U81" s="8" t="s">
        <v>0</v>
      </c>
      <c r="V81" s="6" t="s">
        <v>0</v>
      </c>
      <c r="W8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81" s="10" t="str">
        <f>IFERROR(FemalePayGapsByOccupationalSeriesAndRacialEthnicGroup[[#This Row],[Other Female Employees]]/Y$318,"")</f>
        <v/>
      </c>
      <c r="Y81" s="8" t="s">
        <v>0</v>
      </c>
      <c r="Z81" s="6" t="s">
        <v>0</v>
      </c>
      <c r="AA8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82" spans="1:27" ht="15.6" x14ac:dyDescent="0.3">
      <c r="A82" s="45" t="s">
        <v>93</v>
      </c>
      <c r="B82" s="38">
        <v>4297</v>
      </c>
      <c r="C82" s="39">
        <v>55739.489054495003</v>
      </c>
      <c r="D82" s="69">
        <f>IFERROR(FemalePayGapsByOccupationalSeriesAndRacialEthnicGroup[[#This Row],[White Female Employees]]/E$318,"")</f>
        <v>1.6122743144548278E-3</v>
      </c>
      <c r="E82" s="67">
        <v>736</v>
      </c>
      <c r="F82" s="64">
        <v>53346.842391304002</v>
      </c>
      <c r="G82" s="72">
        <f>IFERROR(FemalePayGapsByOccupationalSeriesAndRacialEthnicGroup[[#This Row],[White Female Avg Salary]]/FemalePayGapsByOccupationalSeriesAndRacialEthnicGroup[[#This Row],[White Male Average Salary]],"")</f>
        <v>0.9570744780087278</v>
      </c>
      <c r="H82" s="10">
        <f>IFERROR(FemalePayGapsByOccupationalSeriesAndRacialEthnicGroup[[#This Row],[AIAN Female Employees]]/I$318,"")</f>
        <v>2.370820668693009E-3</v>
      </c>
      <c r="I82">
        <v>39</v>
      </c>
      <c r="J82" s="6">
        <v>53379.153846153997</v>
      </c>
      <c r="K82" s="52">
        <f>IFERROR(FemalePayGapsByOccupationalSeriesAndRacialEthnicGroup[[#This Row],[AIAN Female Avg Salary]]/FemalePayGapsByOccupationalSeriesAndRacialEthnicGroup[[#This Row],[White Male Average Salary]],"")</f>
        <v>0.95765416496671918</v>
      </c>
      <c r="L82" s="10" t="str">
        <f>IFERROR(FemalePayGapsByOccupationalSeriesAndRacialEthnicGroup[[#This Row],[ANHPI Female Employees]]/M$318,"")</f>
        <v/>
      </c>
      <c r="M82" s="8" t="s">
        <v>0</v>
      </c>
      <c r="N82" s="6" t="s">
        <v>0</v>
      </c>
      <c r="O82" s="52" t="str">
        <f>IFERROR(FemalePayGapsByOccupationalSeriesAndRacialEthnicGroup[[#This Row],[ANHPI Female Avg Salary]]/FemalePayGapsByOccupationalSeriesAndRacialEthnicGroup[[#This Row],[White Male Average Salary]],"")</f>
        <v/>
      </c>
      <c r="P82" s="10">
        <f>IFERROR(FemalePayGapsByOccupationalSeriesAndRacialEthnicGroup[[#This Row],[Black Female Employees]]/Q$318,"")</f>
        <v>1.9010051564764868E-5</v>
      </c>
      <c r="Q82" s="8">
        <v>4</v>
      </c>
      <c r="R82" s="6">
        <v>53272</v>
      </c>
      <c r="S82" s="52">
        <f>IFERROR(FemalePayGapsByOccupationalSeriesAndRacialEthnicGroup[[#This Row],[Black Female Avg Salary]]/FemalePayGapsByOccupationalSeriesAndRacialEthnicGroup[[#This Row],[White Male Average Salary]],"")</f>
        <v>0.95573176043858954</v>
      </c>
      <c r="T82" s="10">
        <f>IFERROR(FemalePayGapsByOccupationalSeriesAndRacialEthnicGroup[[#This Row],[Hispanic Latino Female Employees]]/U$318,"")</f>
        <v>1.3331111481419764E-3</v>
      </c>
      <c r="U82" s="8">
        <v>104</v>
      </c>
      <c r="V82" s="6">
        <v>49411.048076922998</v>
      </c>
      <c r="W82" s="52">
        <f>IFERROR(FemalePayGapsByOccupationalSeriesAndRacialEthnicGroup[[#This Row],[Hispanic Latino Female Avg Salary]]/FemalePayGapsByOccupationalSeriesAndRacialEthnicGroup[[#This Row],[White Male Average Salary]],"")</f>
        <v>0.8864639578704272</v>
      </c>
      <c r="X82" s="10">
        <f>IFERROR(FemalePayGapsByOccupationalSeriesAndRacialEthnicGroup[[#This Row],[Other Female Employees]]/Y$318,"")</f>
        <v>1.1870442597931151E-3</v>
      </c>
      <c r="Y82" s="8">
        <v>21</v>
      </c>
      <c r="Z82" s="6">
        <v>47721.19047619</v>
      </c>
      <c r="AA82" s="1">
        <f>IFERROR(FemalePayGapsByOccupationalSeriesAndRacialEthnicGroup[[#This Row],[Other Female Avg Salary]]/FemalePayGapsByOccupationalSeriesAndRacialEthnicGroup[[#This Row],[White Male Average Salary]],"")</f>
        <v>0.85614689487975526</v>
      </c>
    </row>
    <row r="83" spans="1:27" ht="15.6" x14ac:dyDescent="0.3">
      <c r="A83" s="46" t="s">
        <v>94</v>
      </c>
      <c r="B83" s="40">
        <v>434</v>
      </c>
      <c r="C83" s="41">
        <v>99101.154377879997</v>
      </c>
      <c r="D83" s="70">
        <f>IFERROR(FemalePayGapsByOccupationalSeriesAndRacialEthnicGroup[[#This Row],[White Female Employees]]/E$318,"")</f>
        <v>4.6002392124390467E-4</v>
      </c>
      <c r="E83" s="16">
        <v>210</v>
      </c>
      <c r="F83" s="17">
        <v>85533.371428571001</v>
      </c>
      <c r="G83" s="18">
        <f>IFERROR(FemalePayGapsByOccupationalSeriesAndRacialEthnicGroup[[#This Row],[White Female Avg Salary]]/FemalePayGapsByOccupationalSeriesAndRacialEthnicGroup[[#This Row],[White Male Average Salary]],"")</f>
        <v>0.86309157512359502</v>
      </c>
      <c r="H83" s="10" t="str">
        <f>IFERROR(FemalePayGapsByOccupationalSeriesAndRacialEthnicGroup[[#This Row],[AIAN Female Employees]]/I$318,"")</f>
        <v/>
      </c>
      <c r="I83" t="s">
        <v>0</v>
      </c>
      <c r="J83" s="6" t="s">
        <v>0</v>
      </c>
      <c r="K83" s="52" t="str">
        <f>IFERROR(FemalePayGapsByOccupationalSeriesAndRacialEthnicGroup[[#This Row],[AIAN Female Avg Salary]]/FemalePayGapsByOccupationalSeriesAndRacialEthnicGroup[[#This Row],[White Male Average Salary]],"")</f>
        <v/>
      </c>
      <c r="L83" s="10" t="str">
        <f>IFERROR(FemalePayGapsByOccupationalSeriesAndRacialEthnicGroup[[#This Row],[ANHPI Female Employees]]/M$318,"")</f>
        <v/>
      </c>
      <c r="M83" s="8" t="s">
        <v>0</v>
      </c>
      <c r="N83" s="6" t="s">
        <v>0</v>
      </c>
      <c r="O83" s="52" t="str">
        <f>IFERROR(FemalePayGapsByOccupationalSeriesAndRacialEthnicGroup[[#This Row],[ANHPI Female Avg Salary]]/FemalePayGapsByOccupationalSeriesAndRacialEthnicGroup[[#This Row],[White Male Average Salary]],"")</f>
        <v/>
      </c>
      <c r="P83" s="10" t="str">
        <f>IFERROR(FemalePayGapsByOccupationalSeriesAndRacialEthnicGroup[[#This Row],[Black Female Employees]]/Q$318,"")</f>
        <v/>
      </c>
      <c r="Q83" s="8" t="s">
        <v>0</v>
      </c>
      <c r="R83" s="6" t="s">
        <v>0</v>
      </c>
      <c r="S83" s="52" t="str">
        <f>IFERROR(FemalePayGapsByOccupationalSeriesAndRacialEthnicGroup[[#This Row],[Black Female Avg Salary]]/FemalePayGapsByOccupationalSeriesAndRacialEthnicGroup[[#This Row],[White Male Average Salary]],"")</f>
        <v/>
      </c>
      <c r="T83" s="10" t="str">
        <f>IFERROR(FemalePayGapsByOccupationalSeriesAndRacialEthnicGroup[[#This Row],[Hispanic Latino Female Employees]]/U$318,"")</f>
        <v/>
      </c>
      <c r="U83" s="8" t="s">
        <v>0</v>
      </c>
      <c r="V83" s="6" t="s">
        <v>0</v>
      </c>
      <c r="W8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83" s="10" t="str">
        <f>IFERROR(FemalePayGapsByOccupationalSeriesAndRacialEthnicGroup[[#This Row],[Other Female Employees]]/Y$318,"")</f>
        <v/>
      </c>
      <c r="Y83" s="8" t="s">
        <v>0</v>
      </c>
      <c r="Z83" s="6" t="s">
        <v>0</v>
      </c>
      <c r="AA8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84" spans="1:27" ht="15.6" x14ac:dyDescent="0.3">
      <c r="A84" s="45" t="s">
        <v>95</v>
      </c>
      <c r="B84" s="38">
        <v>122</v>
      </c>
      <c r="C84" s="39">
        <v>102766.081967213</v>
      </c>
      <c r="D84" s="69">
        <f>IFERROR(FemalePayGapsByOccupationalSeriesAndRacialEthnicGroup[[#This Row],[White Female Employees]]/E$318,"")</f>
        <v>1.1172009515923399E-4</v>
      </c>
      <c r="E84" s="67">
        <v>51</v>
      </c>
      <c r="F84" s="64">
        <v>87964.058823529005</v>
      </c>
      <c r="G84" s="72">
        <f>IFERROR(FemalePayGapsByOccupationalSeriesAndRacialEthnicGroup[[#This Row],[White Female Avg Salary]]/FemalePayGapsByOccupationalSeriesAndRacialEthnicGroup[[#This Row],[White Male Average Salary]],"")</f>
        <v>0.85596392447455083</v>
      </c>
      <c r="H84" s="10" t="str">
        <f>IFERROR(FemalePayGapsByOccupationalSeriesAndRacialEthnicGroup[[#This Row],[AIAN Female Employees]]/I$318,"")</f>
        <v/>
      </c>
      <c r="I84" t="s">
        <v>0</v>
      </c>
      <c r="J84" s="6" t="s">
        <v>0</v>
      </c>
      <c r="K84" s="52" t="str">
        <f>IFERROR(FemalePayGapsByOccupationalSeriesAndRacialEthnicGroup[[#This Row],[AIAN Female Avg Salary]]/FemalePayGapsByOccupationalSeriesAndRacialEthnicGroup[[#This Row],[White Male Average Salary]],"")</f>
        <v/>
      </c>
      <c r="L84" s="10" t="str">
        <f>IFERROR(FemalePayGapsByOccupationalSeriesAndRacialEthnicGroup[[#This Row],[ANHPI Female Employees]]/M$318,"")</f>
        <v/>
      </c>
      <c r="M84" s="8" t="s">
        <v>0</v>
      </c>
      <c r="N84" s="6" t="s">
        <v>0</v>
      </c>
      <c r="O84" s="52" t="str">
        <f>IFERROR(FemalePayGapsByOccupationalSeriesAndRacialEthnicGroup[[#This Row],[ANHPI Female Avg Salary]]/FemalePayGapsByOccupationalSeriesAndRacialEthnicGroup[[#This Row],[White Male Average Salary]],"")</f>
        <v/>
      </c>
      <c r="P84" s="10" t="str">
        <f>IFERROR(FemalePayGapsByOccupationalSeriesAndRacialEthnicGroup[[#This Row],[Black Female Employees]]/Q$318,"")</f>
        <v/>
      </c>
      <c r="Q84" s="8" t="s">
        <v>0</v>
      </c>
      <c r="R84" s="6" t="s">
        <v>0</v>
      </c>
      <c r="S84" s="52" t="str">
        <f>IFERROR(FemalePayGapsByOccupationalSeriesAndRacialEthnicGroup[[#This Row],[Black Female Avg Salary]]/FemalePayGapsByOccupationalSeriesAndRacialEthnicGroup[[#This Row],[White Male Average Salary]],"")</f>
        <v/>
      </c>
      <c r="T84" s="10" t="str">
        <f>IFERROR(FemalePayGapsByOccupationalSeriesAndRacialEthnicGroup[[#This Row],[Hispanic Latino Female Employees]]/U$318,"")</f>
        <v/>
      </c>
      <c r="U84" s="8" t="s">
        <v>0</v>
      </c>
      <c r="V84" s="6" t="s">
        <v>0</v>
      </c>
      <c r="W8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84" s="10" t="str">
        <f>IFERROR(FemalePayGapsByOccupationalSeriesAndRacialEthnicGroup[[#This Row],[Other Female Employees]]/Y$318,"")</f>
        <v/>
      </c>
      <c r="Y84" s="8" t="s">
        <v>0</v>
      </c>
      <c r="Z84" s="6" t="s">
        <v>0</v>
      </c>
      <c r="AA8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85" spans="1:27" ht="15.6" x14ac:dyDescent="0.3">
      <c r="A85" s="46" t="s">
        <v>96</v>
      </c>
      <c r="B85" s="40">
        <v>214</v>
      </c>
      <c r="C85" s="41">
        <v>145056.90654205601</v>
      </c>
      <c r="D85" s="70">
        <f>IFERROR(FemalePayGapsByOccupationalSeriesAndRacialEthnicGroup[[#This Row],[White Female Employees]]/E$318,"")</f>
        <v>3.0449202406144165E-4</v>
      </c>
      <c r="E85" s="16">
        <v>139</v>
      </c>
      <c r="F85" s="17">
        <v>149316.98561151099</v>
      </c>
      <c r="G85" s="18">
        <f>IFERROR(FemalePayGapsByOccupationalSeriesAndRacialEthnicGroup[[#This Row],[White Female Avg Salary]]/FemalePayGapsByOccupationalSeriesAndRacialEthnicGroup[[#This Row],[White Male Average Salary]],"")</f>
        <v>1.0293683297886949</v>
      </c>
      <c r="H85" s="10" t="str">
        <f>IFERROR(FemalePayGapsByOccupationalSeriesAndRacialEthnicGroup[[#This Row],[AIAN Female Employees]]/I$318,"")</f>
        <v/>
      </c>
      <c r="I85" t="s">
        <v>0</v>
      </c>
      <c r="J85" s="6" t="s">
        <v>0</v>
      </c>
      <c r="K85" s="52" t="str">
        <f>IFERROR(FemalePayGapsByOccupationalSeriesAndRacialEthnicGroup[[#This Row],[AIAN Female Avg Salary]]/FemalePayGapsByOccupationalSeriesAndRacialEthnicGroup[[#This Row],[White Male Average Salary]],"")</f>
        <v/>
      </c>
      <c r="L85" s="10" t="str">
        <f>IFERROR(FemalePayGapsByOccupationalSeriesAndRacialEthnicGroup[[#This Row],[ANHPI Female Employees]]/M$318,"")</f>
        <v/>
      </c>
      <c r="M85" s="8" t="s">
        <v>0</v>
      </c>
      <c r="N85" s="6" t="s">
        <v>0</v>
      </c>
      <c r="O85" s="52" t="str">
        <f>IFERROR(FemalePayGapsByOccupationalSeriesAndRacialEthnicGroup[[#This Row],[ANHPI Female Avg Salary]]/FemalePayGapsByOccupationalSeriesAndRacialEthnicGroup[[#This Row],[White Male Average Salary]],"")</f>
        <v/>
      </c>
      <c r="P85" s="10" t="str">
        <f>IFERROR(FemalePayGapsByOccupationalSeriesAndRacialEthnicGroup[[#This Row],[Black Female Employees]]/Q$318,"")</f>
        <v/>
      </c>
      <c r="Q85" s="8" t="s">
        <v>0</v>
      </c>
      <c r="R85" s="6" t="s">
        <v>0</v>
      </c>
      <c r="S85" s="52" t="str">
        <f>IFERROR(FemalePayGapsByOccupationalSeriesAndRacialEthnicGroup[[#This Row],[Black Female Avg Salary]]/FemalePayGapsByOccupationalSeriesAndRacialEthnicGroup[[#This Row],[White Male Average Salary]],"")</f>
        <v/>
      </c>
      <c r="T85" s="10" t="str">
        <f>IFERROR(FemalePayGapsByOccupationalSeriesAndRacialEthnicGroup[[#This Row],[Hispanic Latino Female Employees]]/U$318,"")</f>
        <v/>
      </c>
      <c r="U85" s="8" t="s">
        <v>0</v>
      </c>
      <c r="V85" s="6" t="s">
        <v>0</v>
      </c>
      <c r="W8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85" s="10" t="str">
        <f>IFERROR(FemalePayGapsByOccupationalSeriesAndRacialEthnicGroup[[#This Row],[Other Female Employees]]/Y$318,"")</f>
        <v/>
      </c>
      <c r="Y85" s="8" t="s">
        <v>0</v>
      </c>
      <c r="Z85" s="6" t="s">
        <v>0</v>
      </c>
      <c r="AA8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86" spans="1:27" ht="15.6" x14ac:dyDescent="0.3">
      <c r="A86" s="45" t="s">
        <v>97</v>
      </c>
      <c r="B86" s="38">
        <v>1156</v>
      </c>
      <c r="C86" s="39">
        <v>104988.759515571</v>
      </c>
      <c r="D86" s="69">
        <f>IFERROR(FemalePayGapsByOccupationalSeriesAndRacialEthnicGroup[[#This Row],[White Female Employees]]/E$318,"")</f>
        <v>1.1982527853353136E-3</v>
      </c>
      <c r="E86" s="67">
        <v>547</v>
      </c>
      <c r="F86" s="64">
        <v>101499.265082267</v>
      </c>
      <c r="G86" s="72">
        <f>IFERROR(FemalePayGapsByOccupationalSeriesAndRacialEthnicGroup[[#This Row],[White Female Avg Salary]]/FemalePayGapsByOccupationalSeriesAndRacialEthnicGroup[[#This Row],[White Male Average Salary]],"")</f>
        <v>0.96676316160506237</v>
      </c>
      <c r="H86" s="10" t="str">
        <f>IFERROR(FemalePayGapsByOccupationalSeriesAndRacialEthnicGroup[[#This Row],[AIAN Female Employees]]/I$318,"")</f>
        <v/>
      </c>
      <c r="I86" t="s">
        <v>0</v>
      </c>
      <c r="J86" s="6" t="s">
        <v>0</v>
      </c>
      <c r="K86" s="52" t="str">
        <f>IFERROR(FemalePayGapsByOccupationalSeriesAndRacialEthnicGroup[[#This Row],[AIAN Female Avg Salary]]/FemalePayGapsByOccupationalSeriesAndRacialEthnicGroup[[#This Row],[White Male Average Salary]],"")</f>
        <v/>
      </c>
      <c r="L86" s="10" t="str">
        <f>IFERROR(FemalePayGapsByOccupationalSeriesAndRacialEthnicGroup[[#This Row],[ANHPI Female Employees]]/M$318,"")</f>
        <v/>
      </c>
      <c r="M86" s="8" t="s">
        <v>0</v>
      </c>
      <c r="N86" s="6" t="s">
        <v>0</v>
      </c>
      <c r="O86" s="52" t="str">
        <f>IFERROR(FemalePayGapsByOccupationalSeriesAndRacialEthnicGroup[[#This Row],[ANHPI Female Avg Salary]]/FemalePayGapsByOccupationalSeriesAndRacialEthnicGroup[[#This Row],[White Male Average Salary]],"")</f>
        <v/>
      </c>
      <c r="P86" s="10" t="str">
        <f>IFERROR(FemalePayGapsByOccupationalSeriesAndRacialEthnicGroup[[#This Row],[Black Female Employees]]/Q$318,"")</f>
        <v/>
      </c>
      <c r="Q86" s="8" t="s">
        <v>0</v>
      </c>
      <c r="R86" s="6" t="s">
        <v>0</v>
      </c>
      <c r="S86" s="52" t="str">
        <f>IFERROR(FemalePayGapsByOccupationalSeriesAndRacialEthnicGroup[[#This Row],[Black Female Avg Salary]]/FemalePayGapsByOccupationalSeriesAndRacialEthnicGroup[[#This Row],[White Male Average Salary]],"")</f>
        <v/>
      </c>
      <c r="T86" s="10" t="str">
        <f>IFERROR(FemalePayGapsByOccupationalSeriesAndRacialEthnicGroup[[#This Row],[Hispanic Latino Female Employees]]/U$318,"")</f>
        <v/>
      </c>
      <c r="U86" s="8" t="s">
        <v>0</v>
      </c>
      <c r="V86" s="6" t="s">
        <v>0</v>
      </c>
      <c r="W8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86" s="10" t="str">
        <f>IFERROR(FemalePayGapsByOccupationalSeriesAndRacialEthnicGroup[[#This Row],[Other Female Employees]]/Y$318,"")</f>
        <v/>
      </c>
      <c r="Y86" s="8" t="s">
        <v>0</v>
      </c>
      <c r="Z86" s="6" t="s">
        <v>0</v>
      </c>
      <c r="AA8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87" spans="1:27" ht="15.6" x14ac:dyDescent="0.3">
      <c r="A87" s="46" t="s">
        <v>98</v>
      </c>
      <c r="B87" s="40">
        <v>296</v>
      </c>
      <c r="C87" s="41">
        <v>103063.016891892</v>
      </c>
      <c r="D87" s="70">
        <f>IFERROR(FemalePayGapsByOccupationalSeriesAndRacialEthnicGroup[[#This Row],[White Female Employees]]/E$318,"")</f>
        <v>3.0011084385911878E-4</v>
      </c>
      <c r="E87" s="16">
        <v>137</v>
      </c>
      <c r="F87" s="17">
        <v>92074.540145984996</v>
      </c>
      <c r="G87" s="18">
        <f>IFERROR(FemalePayGapsByOccupationalSeriesAndRacialEthnicGroup[[#This Row],[White Female Avg Salary]]/FemalePayGapsByOccupationalSeriesAndRacialEthnicGroup[[#This Row],[White Male Average Salary]],"")</f>
        <v>0.89338099080261379</v>
      </c>
      <c r="H87" s="10" t="str">
        <f>IFERROR(FemalePayGapsByOccupationalSeriesAndRacialEthnicGroup[[#This Row],[AIAN Female Employees]]/I$318,"")</f>
        <v/>
      </c>
      <c r="I87" t="s">
        <v>0</v>
      </c>
      <c r="J87" s="6" t="s">
        <v>0</v>
      </c>
      <c r="K87" s="52" t="str">
        <f>IFERROR(FemalePayGapsByOccupationalSeriesAndRacialEthnicGroup[[#This Row],[AIAN Female Avg Salary]]/FemalePayGapsByOccupationalSeriesAndRacialEthnicGroup[[#This Row],[White Male Average Salary]],"")</f>
        <v/>
      </c>
      <c r="L87" s="10" t="str">
        <f>IFERROR(FemalePayGapsByOccupationalSeriesAndRacialEthnicGroup[[#This Row],[ANHPI Female Employees]]/M$318,"")</f>
        <v/>
      </c>
      <c r="M87" s="8" t="s">
        <v>0</v>
      </c>
      <c r="N87" s="6" t="s">
        <v>0</v>
      </c>
      <c r="O87" s="52" t="str">
        <f>IFERROR(FemalePayGapsByOccupationalSeriesAndRacialEthnicGroup[[#This Row],[ANHPI Female Avg Salary]]/FemalePayGapsByOccupationalSeriesAndRacialEthnicGroup[[#This Row],[White Male Average Salary]],"")</f>
        <v/>
      </c>
      <c r="P87" s="10" t="str">
        <f>IFERROR(FemalePayGapsByOccupationalSeriesAndRacialEthnicGroup[[#This Row],[Black Female Employees]]/Q$318,"")</f>
        <v/>
      </c>
      <c r="Q87" s="8" t="s">
        <v>0</v>
      </c>
      <c r="R87" s="6" t="s">
        <v>0</v>
      </c>
      <c r="S87" s="52" t="str">
        <f>IFERROR(FemalePayGapsByOccupationalSeriesAndRacialEthnicGroup[[#This Row],[Black Female Avg Salary]]/FemalePayGapsByOccupationalSeriesAndRacialEthnicGroup[[#This Row],[White Male Average Salary]],"")</f>
        <v/>
      </c>
      <c r="T87" s="10" t="str">
        <f>IFERROR(FemalePayGapsByOccupationalSeriesAndRacialEthnicGroup[[#This Row],[Hispanic Latino Female Employees]]/U$318,"")</f>
        <v/>
      </c>
      <c r="U87" s="8" t="s">
        <v>0</v>
      </c>
      <c r="V87" s="6" t="s">
        <v>0</v>
      </c>
      <c r="W8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87" s="10" t="str">
        <f>IFERROR(FemalePayGapsByOccupationalSeriesAndRacialEthnicGroup[[#This Row],[Other Female Employees]]/Y$318,"")</f>
        <v/>
      </c>
      <c r="Y87" s="8" t="s">
        <v>0</v>
      </c>
      <c r="Z87" s="6" t="s">
        <v>0</v>
      </c>
      <c r="AA8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88" spans="1:27" ht="15.6" x14ac:dyDescent="0.3">
      <c r="A88" s="45" t="s">
        <v>99</v>
      </c>
      <c r="B88" s="38">
        <v>1128</v>
      </c>
      <c r="C88" s="39">
        <v>91186.644503546006</v>
      </c>
      <c r="D88" s="69">
        <f>IFERROR(FemalePayGapsByOccupationalSeriesAndRacialEthnicGroup[[#This Row],[White Female Employees]]/E$318,"")</f>
        <v>1.2267304566504125E-3</v>
      </c>
      <c r="E88" s="67">
        <v>560</v>
      </c>
      <c r="F88" s="64">
        <v>85944.408928571007</v>
      </c>
      <c r="G88" s="72">
        <f>IFERROR(FemalePayGapsByOccupationalSeriesAndRacialEthnicGroup[[#This Row],[White Female Avg Salary]]/FemalePayGapsByOccupationalSeriesAndRacialEthnicGroup[[#This Row],[White Male Average Salary]],"")</f>
        <v>0.94251092795972835</v>
      </c>
      <c r="H88" s="10" t="str">
        <f>IFERROR(FemalePayGapsByOccupationalSeriesAndRacialEthnicGroup[[#This Row],[AIAN Female Employees]]/I$318,"")</f>
        <v/>
      </c>
      <c r="I88" t="s">
        <v>0</v>
      </c>
      <c r="J88" s="6" t="s">
        <v>0</v>
      </c>
      <c r="K88" s="52" t="str">
        <f>IFERROR(FemalePayGapsByOccupationalSeriesAndRacialEthnicGroup[[#This Row],[AIAN Female Avg Salary]]/FemalePayGapsByOccupationalSeriesAndRacialEthnicGroup[[#This Row],[White Male Average Salary]],"")</f>
        <v/>
      </c>
      <c r="L88" s="10" t="str">
        <f>IFERROR(FemalePayGapsByOccupationalSeriesAndRacialEthnicGroup[[#This Row],[ANHPI Female Employees]]/M$318,"")</f>
        <v/>
      </c>
      <c r="M88" s="8" t="s">
        <v>0</v>
      </c>
      <c r="N88" s="6" t="s">
        <v>0</v>
      </c>
      <c r="O88" s="52" t="str">
        <f>IFERROR(FemalePayGapsByOccupationalSeriesAndRacialEthnicGroup[[#This Row],[ANHPI Female Avg Salary]]/FemalePayGapsByOccupationalSeriesAndRacialEthnicGroup[[#This Row],[White Male Average Salary]],"")</f>
        <v/>
      </c>
      <c r="P88" s="10" t="str">
        <f>IFERROR(FemalePayGapsByOccupationalSeriesAndRacialEthnicGroup[[#This Row],[Black Female Employees]]/Q$318,"")</f>
        <v/>
      </c>
      <c r="Q88" s="8" t="s">
        <v>0</v>
      </c>
      <c r="R88" s="6" t="s">
        <v>0</v>
      </c>
      <c r="S88" s="52" t="str">
        <f>IFERROR(FemalePayGapsByOccupationalSeriesAndRacialEthnicGroup[[#This Row],[Black Female Avg Salary]]/FemalePayGapsByOccupationalSeriesAndRacialEthnicGroup[[#This Row],[White Male Average Salary]],"")</f>
        <v/>
      </c>
      <c r="T88" s="10">
        <f>IFERROR(FemalePayGapsByOccupationalSeriesAndRacialEthnicGroup[[#This Row],[Hispanic Latino Female Employees]]/U$318,"")</f>
        <v>4.1018804558214659E-4</v>
      </c>
      <c r="U88" s="8">
        <v>32</v>
      </c>
      <c r="V88" s="6">
        <v>72074.75</v>
      </c>
      <c r="W88" s="52">
        <f>IFERROR(FemalePayGapsByOccupationalSeriesAndRacialEthnicGroup[[#This Row],[Hispanic Latino Female Avg Salary]]/FemalePayGapsByOccupationalSeriesAndRacialEthnicGroup[[#This Row],[White Male Average Salary]],"")</f>
        <v>0.79040906036626013</v>
      </c>
      <c r="X88" s="10" t="str">
        <f>IFERROR(FemalePayGapsByOccupationalSeriesAndRacialEthnicGroup[[#This Row],[Other Female Employees]]/Y$318,"")</f>
        <v/>
      </c>
      <c r="Y88" s="8" t="s">
        <v>0</v>
      </c>
      <c r="Z88" s="6" t="s">
        <v>0</v>
      </c>
      <c r="AA8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89" spans="1:27" ht="15.6" x14ac:dyDescent="0.3">
      <c r="A89" s="46" t="s">
        <v>325</v>
      </c>
      <c r="B89" s="40">
        <v>41</v>
      </c>
      <c r="C89" s="41">
        <v>34864.85</v>
      </c>
      <c r="D89" s="70">
        <f>IFERROR(FemalePayGapsByOccupationalSeriesAndRacialEthnicGroup[[#This Row],[White Female Employees]]/E$318,"")</f>
        <v>1.3143540606968705E-4</v>
      </c>
      <c r="E89" s="16">
        <v>60</v>
      </c>
      <c r="F89" s="17">
        <v>35127.199999999997</v>
      </c>
      <c r="G89" s="18">
        <f>IFERROR(FemalePayGapsByOccupationalSeriesAndRacialEthnicGroup[[#This Row],[White Female Avg Salary]]/FemalePayGapsByOccupationalSeriesAndRacialEthnicGroup[[#This Row],[White Male Average Salary]],"")</f>
        <v>1.007524770650096</v>
      </c>
      <c r="H89" s="10" t="str">
        <f>IFERROR(FemalePayGapsByOccupationalSeriesAndRacialEthnicGroup[[#This Row],[AIAN Female Employees]]/I$318,"")</f>
        <v/>
      </c>
      <c r="I89" t="s">
        <v>0</v>
      </c>
      <c r="J89" s="6" t="s">
        <v>0</v>
      </c>
      <c r="K89" s="52" t="str">
        <f>IFERROR(FemalePayGapsByOccupationalSeriesAndRacialEthnicGroup[[#This Row],[AIAN Female Avg Salary]]/FemalePayGapsByOccupationalSeriesAndRacialEthnicGroup[[#This Row],[White Male Average Salary]],"")</f>
        <v/>
      </c>
      <c r="L89" s="10" t="str">
        <f>IFERROR(FemalePayGapsByOccupationalSeriesAndRacialEthnicGroup[[#This Row],[ANHPI Female Employees]]/M$318,"")</f>
        <v/>
      </c>
      <c r="M89" s="8" t="s">
        <v>0</v>
      </c>
      <c r="N89" s="6" t="s">
        <v>0</v>
      </c>
      <c r="O89" s="52" t="str">
        <f>IFERROR(FemalePayGapsByOccupationalSeriesAndRacialEthnicGroup[[#This Row],[ANHPI Female Avg Salary]]/FemalePayGapsByOccupationalSeriesAndRacialEthnicGroup[[#This Row],[White Male Average Salary]],"")</f>
        <v/>
      </c>
      <c r="P89" s="10" t="str">
        <f>IFERROR(FemalePayGapsByOccupationalSeriesAndRacialEthnicGroup[[#This Row],[Black Female Employees]]/Q$318,"")</f>
        <v/>
      </c>
      <c r="Q89" s="8" t="s">
        <v>0</v>
      </c>
      <c r="R89" s="6" t="s">
        <v>0</v>
      </c>
      <c r="S89" s="52" t="str">
        <f>IFERROR(FemalePayGapsByOccupationalSeriesAndRacialEthnicGroup[[#This Row],[Black Female Avg Salary]]/FemalePayGapsByOccupationalSeriesAndRacialEthnicGroup[[#This Row],[White Male Average Salary]],"")</f>
        <v/>
      </c>
      <c r="T89" s="10" t="str">
        <f>IFERROR(FemalePayGapsByOccupationalSeriesAndRacialEthnicGroup[[#This Row],[Hispanic Latino Female Employees]]/U$318,"")</f>
        <v/>
      </c>
      <c r="U89" s="8" t="s">
        <v>0</v>
      </c>
      <c r="V89" s="6" t="s">
        <v>0</v>
      </c>
      <c r="W8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89" s="10" t="str">
        <f>IFERROR(FemalePayGapsByOccupationalSeriesAndRacialEthnicGroup[[#This Row],[Other Female Employees]]/Y$318,"")</f>
        <v/>
      </c>
      <c r="Y89" s="8" t="s">
        <v>0</v>
      </c>
      <c r="Z89" s="6" t="s">
        <v>0</v>
      </c>
      <c r="AA8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90" spans="1:27" ht="15.6" x14ac:dyDescent="0.3">
      <c r="A90" s="45" t="s">
        <v>100</v>
      </c>
      <c r="B90" s="38">
        <v>6571</v>
      </c>
      <c r="C90" s="39">
        <v>105485.91835491201</v>
      </c>
      <c r="D90" s="69">
        <f>IFERROR(FemalePayGapsByOccupationalSeriesAndRacialEthnicGroup[[#This Row],[White Female Employees]]/E$318,"")</f>
        <v>2.1360444076425306E-2</v>
      </c>
      <c r="E90" s="67">
        <v>9751</v>
      </c>
      <c r="F90" s="64">
        <v>98476.910545752995</v>
      </c>
      <c r="G90" s="72">
        <f>IFERROR(FemalePayGapsByOccupationalSeriesAndRacialEthnicGroup[[#This Row],[White Female Avg Salary]]/FemalePayGapsByOccupationalSeriesAndRacialEthnicGroup[[#This Row],[White Male Average Salary]],"")</f>
        <v>0.93355503826039699</v>
      </c>
      <c r="H90" s="10">
        <f>IFERROR(FemalePayGapsByOccupationalSeriesAndRacialEthnicGroup[[#This Row],[AIAN Female Employees]]/I$318,"")</f>
        <v>1.4468085106382979E-2</v>
      </c>
      <c r="I90">
        <v>238</v>
      </c>
      <c r="J90" s="6">
        <v>89803.735294118</v>
      </c>
      <c r="K90" s="52">
        <f>IFERROR(FemalePayGapsByOccupationalSeriesAndRacialEthnicGroup[[#This Row],[AIAN Female Avg Salary]]/FemalePayGapsByOccupationalSeriesAndRacialEthnicGroup[[#This Row],[White Male Average Salary]],"")</f>
        <v>0.85133387180618159</v>
      </c>
      <c r="L90" s="10">
        <f>IFERROR(FemalePayGapsByOccupationalSeriesAndRacialEthnicGroup[[#This Row],[ANHPI Female Employees]]/M$318,"")</f>
        <v>1.9297015041695894E-2</v>
      </c>
      <c r="M90" s="8">
        <v>1238</v>
      </c>
      <c r="N90" s="6">
        <v>101076.565076799</v>
      </c>
      <c r="O90" s="52">
        <f>IFERROR(FemalePayGapsByOccupationalSeriesAndRacialEthnicGroup[[#This Row],[ANHPI Female Avg Salary]]/FemalePayGapsByOccupationalSeriesAndRacialEthnicGroup[[#This Row],[White Male Average Salary]],"")</f>
        <v>0.95819960287706329</v>
      </c>
      <c r="P90" s="10">
        <f>IFERROR(FemalePayGapsByOccupationalSeriesAndRacialEthnicGroup[[#This Row],[Black Female Employees]]/Q$318,"")</f>
        <v>2.3572463940308437E-2</v>
      </c>
      <c r="Q90" s="8">
        <v>4960</v>
      </c>
      <c r="R90" s="6">
        <v>101368.64764017701</v>
      </c>
      <c r="S90" s="52">
        <f>IFERROR(FemalePayGapsByOccupationalSeriesAndRacialEthnicGroup[[#This Row],[Black Female Avg Salary]]/FemalePayGapsByOccupationalSeriesAndRacialEthnicGroup[[#This Row],[White Male Average Salary]],"")</f>
        <v>0.96096852756325002</v>
      </c>
      <c r="T90" s="10">
        <f>IFERROR(FemalePayGapsByOccupationalSeriesAndRacialEthnicGroup[[#This Row],[Hispanic Latino Female Employees]]/U$318,"")</f>
        <v>1.9266019765936445E-2</v>
      </c>
      <c r="U90" s="8">
        <v>1503</v>
      </c>
      <c r="V90" s="6">
        <v>92316.977378576004</v>
      </c>
      <c r="W90" s="52">
        <f>IFERROR(FemalePayGapsByOccupationalSeriesAndRacialEthnicGroup[[#This Row],[Hispanic Latino Female Avg Salary]]/FemalePayGapsByOccupationalSeriesAndRacialEthnicGroup[[#This Row],[White Male Average Salary]],"")</f>
        <v>0.87515925175881271</v>
      </c>
      <c r="X90" s="10">
        <f>IFERROR(FemalePayGapsByOccupationalSeriesAndRacialEthnicGroup[[#This Row],[Other Female Employees]]/Y$318,"")</f>
        <v>2.2836470521734216E-2</v>
      </c>
      <c r="Y90" s="8">
        <v>404</v>
      </c>
      <c r="Z90" s="6">
        <v>94289.745049505</v>
      </c>
      <c r="AA90" s="1">
        <f>IFERROR(FemalePayGapsByOccupationalSeriesAndRacialEthnicGroup[[#This Row],[Other Female Avg Salary]]/FemalePayGapsByOccupationalSeriesAndRacialEthnicGroup[[#This Row],[White Male Average Salary]],"")</f>
        <v>0.89386096760577094</v>
      </c>
    </row>
    <row r="91" spans="1:27" ht="15.6" x14ac:dyDescent="0.3">
      <c r="A91" s="46" t="s">
        <v>101</v>
      </c>
      <c r="B91" s="40">
        <v>955</v>
      </c>
      <c r="C91" s="41">
        <v>52671.106918238998</v>
      </c>
      <c r="D91" s="70">
        <f>IFERROR(FemalePayGapsByOccupationalSeriesAndRacialEthnicGroup[[#This Row],[White Female Employees]]/E$318,"")</f>
        <v>5.0471195930759825E-3</v>
      </c>
      <c r="E91" s="16">
        <v>2304</v>
      </c>
      <c r="F91" s="17">
        <v>52174.205039095999</v>
      </c>
      <c r="G91" s="18">
        <f>IFERROR(FemalePayGapsByOccupationalSeriesAndRacialEthnicGroup[[#This Row],[White Female Avg Salary]]/FemalePayGapsByOccupationalSeriesAndRacialEthnicGroup[[#This Row],[White Male Average Salary]],"")</f>
        <v>0.99056594956482813</v>
      </c>
      <c r="H91" s="10">
        <f>IFERROR(FemalePayGapsByOccupationalSeriesAndRacialEthnicGroup[[#This Row],[AIAN Female Employees]]/I$318,"")</f>
        <v>9.6048632218844986E-3</v>
      </c>
      <c r="I91">
        <v>158</v>
      </c>
      <c r="J91" s="6">
        <v>50878.436708861002</v>
      </c>
      <c r="K91" s="52">
        <f>IFERROR(FemalePayGapsByOccupationalSeriesAndRacialEthnicGroup[[#This Row],[AIAN Female Avg Salary]]/FemalePayGapsByOccupationalSeriesAndRacialEthnicGroup[[#This Row],[White Male Average Salary]],"")</f>
        <v>0.96596482750664903</v>
      </c>
      <c r="L91" s="10">
        <f>IFERROR(FemalePayGapsByOccupationalSeriesAndRacialEthnicGroup[[#This Row],[ANHPI Female Employees]]/M$318,"")</f>
        <v>4.4423661444938038E-3</v>
      </c>
      <c r="M91" s="8">
        <v>285</v>
      </c>
      <c r="N91" s="6">
        <v>52198.519298245999</v>
      </c>
      <c r="O91" s="52">
        <f>IFERROR(FemalePayGapsByOccupationalSeriesAndRacialEthnicGroup[[#This Row],[ANHPI Female Avg Salary]]/FemalePayGapsByOccupationalSeriesAndRacialEthnicGroup[[#This Row],[White Male Average Salary]],"")</f>
        <v>0.99102757379436524</v>
      </c>
      <c r="P91" s="10">
        <f>IFERROR(FemalePayGapsByOccupationalSeriesAndRacialEthnicGroup[[#This Row],[Black Female Employees]]/Q$318,"")</f>
        <v>5.7505405983413731E-3</v>
      </c>
      <c r="Q91" s="8">
        <v>1210</v>
      </c>
      <c r="R91" s="6">
        <v>53770.700826446002</v>
      </c>
      <c r="S91" s="52">
        <f>IFERROR(FemalePayGapsByOccupationalSeriesAndRacialEthnicGroup[[#This Row],[Black Female Avg Salary]]/FemalePayGapsByOccupationalSeriesAndRacialEthnicGroup[[#This Row],[White Male Average Salary]],"")</f>
        <v>1.0208766052688791</v>
      </c>
      <c r="T91" s="10">
        <f>IFERROR(FemalePayGapsByOccupationalSeriesAndRacialEthnicGroup[[#This Row],[Hispanic Latino Female Employees]]/U$318,"")</f>
        <v>5.8964531552433566E-3</v>
      </c>
      <c r="U91" s="8">
        <v>460</v>
      </c>
      <c r="V91" s="6">
        <v>52955.655773420003</v>
      </c>
      <c r="W91" s="52">
        <f>IFERROR(FemalePayGapsByOccupationalSeriesAndRacialEthnicGroup[[#This Row],[Hispanic Latino Female Avg Salary]]/FemalePayGapsByOccupationalSeriesAndRacialEthnicGroup[[#This Row],[White Male Average Salary]],"")</f>
        <v>1.0054023708980089</v>
      </c>
      <c r="X91" s="10">
        <f>IFERROR(FemalePayGapsByOccupationalSeriesAndRacialEthnicGroup[[#This Row],[Other Female Employees]]/Y$318,"")</f>
        <v>4.9742807077044829E-3</v>
      </c>
      <c r="Y91" s="8">
        <v>88</v>
      </c>
      <c r="Z91" s="6">
        <v>51726.988636364003</v>
      </c>
      <c r="AA91" s="1">
        <f>IFERROR(FemalePayGapsByOccupationalSeriesAndRacialEthnicGroup[[#This Row],[Other Female Avg Salary]]/FemalePayGapsByOccupationalSeriesAndRacialEthnicGroup[[#This Row],[White Male Average Salary]],"")</f>
        <v>0.98207521472179149</v>
      </c>
    </row>
    <row r="92" spans="1:27" ht="15.6" x14ac:dyDescent="0.3">
      <c r="A92" s="45" t="s">
        <v>102</v>
      </c>
      <c r="B92" s="38">
        <v>497</v>
      </c>
      <c r="C92" s="39">
        <v>149019.981891348</v>
      </c>
      <c r="D92" s="69">
        <f>IFERROR(FemalePayGapsByOccupationalSeriesAndRacialEthnicGroup[[#This Row],[White Female Employees]]/E$318,"")</f>
        <v>8.4118659884599716E-4</v>
      </c>
      <c r="E92" s="67">
        <v>384</v>
      </c>
      <c r="F92" s="64">
        <v>147407.53125</v>
      </c>
      <c r="G92" s="72">
        <f>IFERROR(FemalePayGapsByOccupationalSeriesAndRacialEthnicGroup[[#This Row],[White Female Avg Salary]]/FemalePayGapsByOccupationalSeriesAndRacialEthnicGroup[[#This Row],[White Male Average Salary]],"")</f>
        <v>0.98917963469809267</v>
      </c>
      <c r="H92" s="10" t="str">
        <f>IFERROR(FemalePayGapsByOccupationalSeriesAndRacialEthnicGroup[[#This Row],[AIAN Female Employees]]/I$318,"")</f>
        <v/>
      </c>
      <c r="I92" t="s">
        <v>0</v>
      </c>
      <c r="J92" s="6" t="s">
        <v>0</v>
      </c>
      <c r="K92" s="52" t="str">
        <f>IFERROR(FemalePayGapsByOccupationalSeriesAndRacialEthnicGroup[[#This Row],[AIAN Female Avg Salary]]/FemalePayGapsByOccupationalSeriesAndRacialEthnicGroup[[#This Row],[White Male Average Salary]],"")</f>
        <v/>
      </c>
      <c r="L92" s="10" t="str">
        <f>IFERROR(FemalePayGapsByOccupationalSeriesAndRacialEthnicGroup[[#This Row],[ANHPI Female Employees]]/M$318,"")</f>
        <v/>
      </c>
      <c r="M92" s="8" t="s">
        <v>0</v>
      </c>
      <c r="N92" s="6" t="s">
        <v>0</v>
      </c>
      <c r="O92" s="52" t="str">
        <f>IFERROR(FemalePayGapsByOccupationalSeriesAndRacialEthnicGroup[[#This Row],[ANHPI Female Avg Salary]]/FemalePayGapsByOccupationalSeriesAndRacialEthnicGroup[[#This Row],[White Male Average Salary]],"")</f>
        <v/>
      </c>
      <c r="P92" s="10">
        <f>IFERROR(FemalePayGapsByOccupationalSeriesAndRacialEthnicGroup[[#This Row],[Black Female Employees]]/Q$318,"")</f>
        <v>5.0376636646626901E-4</v>
      </c>
      <c r="Q92" s="8">
        <v>106</v>
      </c>
      <c r="R92" s="6">
        <v>146147.81132075499</v>
      </c>
      <c r="S92" s="52">
        <f>IFERROR(FemalePayGapsByOccupationalSeriesAndRacialEthnicGroup[[#This Row],[Black Female Avg Salary]]/FemalePayGapsByOccupationalSeriesAndRacialEthnicGroup[[#This Row],[White Male Average Salary]],"")</f>
        <v>0.98072627218081976</v>
      </c>
      <c r="T92" s="10" t="str">
        <f>IFERROR(FemalePayGapsByOccupationalSeriesAndRacialEthnicGroup[[#This Row],[Hispanic Latino Female Employees]]/U$318,"")</f>
        <v/>
      </c>
      <c r="U92" s="8" t="s">
        <v>0</v>
      </c>
      <c r="V92" s="6" t="s">
        <v>0</v>
      </c>
      <c r="W9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92" s="10" t="str">
        <f>IFERROR(FemalePayGapsByOccupationalSeriesAndRacialEthnicGroup[[#This Row],[Other Female Employees]]/Y$318,"")</f>
        <v/>
      </c>
      <c r="Y92" s="8" t="s">
        <v>0</v>
      </c>
      <c r="Z92" s="6" t="s">
        <v>0</v>
      </c>
      <c r="AA9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93" spans="1:27" ht="15.6" x14ac:dyDescent="0.3">
      <c r="A93" s="46" t="s">
        <v>103</v>
      </c>
      <c r="B93" s="40">
        <v>3390</v>
      </c>
      <c r="C93" s="41">
        <v>119226.08535144701</v>
      </c>
      <c r="D93" s="70">
        <f>IFERROR(FemalePayGapsByOccupationalSeriesAndRacialEthnicGroup[[#This Row],[White Female Employees]]/E$318,"")</f>
        <v>9.2267655060920307E-3</v>
      </c>
      <c r="E93" s="16">
        <v>4212</v>
      </c>
      <c r="F93" s="17">
        <v>108908.85391924001</v>
      </c>
      <c r="G93" s="18">
        <f>IFERROR(FemalePayGapsByOccupationalSeriesAndRacialEthnicGroup[[#This Row],[White Female Avg Salary]]/FemalePayGapsByOccupationalSeriesAndRacialEthnicGroup[[#This Row],[White Male Average Salary]],"")</f>
        <v>0.9134649820817774</v>
      </c>
      <c r="H93" s="10">
        <f>IFERROR(FemalePayGapsByOccupationalSeriesAndRacialEthnicGroup[[#This Row],[AIAN Female Employees]]/I$318,"")</f>
        <v>6.2613981762917933E-3</v>
      </c>
      <c r="I93">
        <v>103</v>
      </c>
      <c r="J93" s="6">
        <v>99637.417475727998</v>
      </c>
      <c r="K93" s="52">
        <f>IFERROR(FemalePayGapsByOccupationalSeriesAndRacialEthnicGroup[[#This Row],[AIAN Female Avg Salary]]/FemalePayGapsByOccupationalSeriesAndRacialEthnicGroup[[#This Row],[White Male Average Salary]],"")</f>
        <v>0.83570149252173476</v>
      </c>
      <c r="L93" s="10">
        <f>IFERROR(FemalePayGapsByOccupationalSeriesAndRacialEthnicGroup[[#This Row],[ANHPI Female Employees]]/M$318,"")</f>
        <v>1.3545319928298652E-2</v>
      </c>
      <c r="M93" s="8">
        <v>869</v>
      </c>
      <c r="N93" s="6">
        <v>123043.283084005</v>
      </c>
      <c r="O93" s="52">
        <f>IFERROR(FemalePayGapsByOccupationalSeriesAndRacialEthnicGroup[[#This Row],[ANHPI Female Avg Salary]]/FemalePayGapsByOccupationalSeriesAndRacialEthnicGroup[[#This Row],[White Male Average Salary]],"")</f>
        <v>1.0320164645287639</v>
      </c>
      <c r="P93" s="10">
        <f>IFERROR(FemalePayGapsByOccupationalSeriesAndRacialEthnicGroup[[#This Row],[Black Female Employees]]/Q$318,"")</f>
        <v>1.0042059739087042E-2</v>
      </c>
      <c r="Q93" s="8">
        <v>2113</v>
      </c>
      <c r="R93" s="6">
        <v>112329.13731060601</v>
      </c>
      <c r="S93" s="52">
        <f>IFERROR(FemalePayGapsByOccupationalSeriesAndRacialEthnicGroup[[#This Row],[Black Female Avg Salary]]/FemalePayGapsByOccupationalSeriesAndRacialEthnicGroup[[#This Row],[White Male Average Salary]],"")</f>
        <v>0.94215235683943976</v>
      </c>
      <c r="T93" s="10">
        <f>IFERROR(FemalePayGapsByOccupationalSeriesAndRacialEthnicGroup[[#This Row],[Hispanic Latino Female Employees]]/U$318,"")</f>
        <v>4.9607116762590848E-3</v>
      </c>
      <c r="U93" s="8">
        <v>387</v>
      </c>
      <c r="V93" s="6">
        <v>111080.25647668399</v>
      </c>
      <c r="W93" s="52">
        <f>IFERROR(FemalePayGapsByOccupationalSeriesAndRacialEthnicGroup[[#This Row],[Hispanic Latino Female Avg Salary]]/FemalePayGapsByOccupationalSeriesAndRacialEthnicGroup[[#This Row],[White Male Average Salary]],"")</f>
        <v>0.93167746092852699</v>
      </c>
      <c r="X93" s="10">
        <f>IFERROR(FemalePayGapsByOccupationalSeriesAndRacialEthnicGroup[[#This Row],[Other Female Employees]]/Y$318,"")</f>
        <v>7.8571024814877623E-3</v>
      </c>
      <c r="Y93" s="8">
        <v>139</v>
      </c>
      <c r="Z93" s="6">
        <v>103340.44604316499</v>
      </c>
      <c r="AA93" s="1">
        <f>IFERROR(FemalePayGapsByOccupationalSeriesAndRacialEthnicGroup[[#This Row],[Other Female Avg Salary]]/FemalePayGapsByOccupationalSeriesAndRacialEthnicGroup[[#This Row],[White Male Average Salary]],"")</f>
        <v>0.86676037159607022</v>
      </c>
    </row>
    <row r="94" spans="1:27" ht="15.6" x14ac:dyDescent="0.3">
      <c r="A94" s="45" t="s">
        <v>104</v>
      </c>
      <c r="B94" s="38">
        <v>3291</v>
      </c>
      <c r="C94" s="39">
        <v>117478.33120438</v>
      </c>
      <c r="D94" s="69">
        <f>IFERROR(FemalePayGapsByOccupationalSeriesAndRacialEthnicGroup[[#This Row],[White Female Employees]]/E$318,"")</f>
        <v>6.4644313885274416E-3</v>
      </c>
      <c r="E94" s="67">
        <v>2951</v>
      </c>
      <c r="F94" s="64">
        <v>114455.12101694899</v>
      </c>
      <c r="G94" s="72">
        <f>IFERROR(FemalePayGapsByOccupationalSeriesAndRacialEthnicGroup[[#This Row],[White Female Avg Salary]]/FemalePayGapsByOccupationalSeriesAndRacialEthnicGroup[[#This Row],[White Male Average Salary]],"")</f>
        <v>0.97426580581765798</v>
      </c>
      <c r="H94" s="10" t="str">
        <f>IFERROR(FemalePayGapsByOccupationalSeriesAndRacialEthnicGroup[[#This Row],[AIAN Female Employees]]/I$318,"")</f>
        <v/>
      </c>
      <c r="I94" t="s">
        <v>0</v>
      </c>
      <c r="J94" s="6" t="s">
        <v>0</v>
      </c>
      <c r="K94" s="52" t="str">
        <f>IFERROR(FemalePayGapsByOccupationalSeriesAndRacialEthnicGroup[[#This Row],[AIAN Female Avg Salary]]/FemalePayGapsByOccupationalSeriesAndRacialEthnicGroup[[#This Row],[White Male Average Salary]],"")</f>
        <v/>
      </c>
      <c r="L94" s="10">
        <f>IFERROR(FemalePayGapsByOccupationalSeriesAndRacialEthnicGroup[[#This Row],[ANHPI Female Employees]]/M$318,"")</f>
        <v>9.8667290156651856E-3</v>
      </c>
      <c r="M94" s="8">
        <v>633</v>
      </c>
      <c r="N94" s="6">
        <v>113706.867298578</v>
      </c>
      <c r="O94" s="52">
        <f>IFERROR(FemalePayGapsByOccupationalSeriesAndRacialEthnicGroup[[#This Row],[ANHPI Female Avg Salary]]/FemalePayGapsByOccupationalSeriesAndRacialEthnicGroup[[#This Row],[White Male Average Salary]],"")</f>
        <v>0.96789651447090541</v>
      </c>
      <c r="P94" s="10">
        <f>IFERROR(FemalePayGapsByOccupationalSeriesAndRacialEthnicGroup[[#This Row],[Black Female Employees]]/Q$318,"")</f>
        <v>6.2400494261340683E-3</v>
      </c>
      <c r="Q94" s="8">
        <v>1313</v>
      </c>
      <c r="R94" s="6">
        <v>116257.106707317</v>
      </c>
      <c r="S94" s="52">
        <f>IFERROR(FemalePayGapsByOccupationalSeriesAndRacialEthnicGroup[[#This Row],[Black Female Avg Salary]]/FemalePayGapsByOccupationalSeriesAndRacialEthnicGroup[[#This Row],[White Male Average Salary]],"")</f>
        <v>0.98960468296967541</v>
      </c>
      <c r="T94" s="10">
        <f>IFERROR(FemalePayGapsByOccupationalSeriesAndRacialEthnicGroup[[#This Row],[Hispanic Latino Female Employees]]/U$318,"")</f>
        <v>8.2293976644918151E-3</v>
      </c>
      <c r="U94" s="8">
        <v>642</v>
      </c>
      <c r="V94" s="6">
        <v>103842.786604361</v>
      </c>
      <c r="W94" s="52">
        <f>IFERROR(FemalePayGapsByOccupationalSeriesAndRacialEthnicGroup[[#This Row],[Hispanic Latino Female Avg Salary]]/FemalePayGapsByOccupationalSeriesAndRacialEthnicGroup[[#This Row],[White Male Average Salary]],"")</f>
        <v>0.88393140709245432</v>
      </c>
      <c r="X94" s="10">
        <f>IFERROR(FemalePayGapsByOccupationalSeriesAndRacialEthnicGroup[[#This Row],[Other Female Employees]]/Y$318,"")</f>
        <v>8.8180430727488549E-3</v>
      </c>
      <c r="Y94" s="8">
        <v>156</v>
      </c>
      <c r="Z94" s="6">
        <v>106273</v>
      </c>
      <c r="AA94" s="1">
        <f>IFERROR(FemalePayGapsByOccupationalSeriesAndRacialEthnicGroup[[#This Row],[Other Female Avg Salary]]/FemalePayGapsByOccupationalSeriesAndRacialEthnicGroup[[#This Row],[White Male Average Salary]],"")</f>
        <v>0.9046178891928095</v>
      </c>
    </row>
    <row r="95" spans="1:27" ht="15.6" x14ac:dyDescent="0.3">
      <c r="A95" s="46" t="s">
        <v>105</v>
      </c>
      <c r="B95" s="40">
        <v>2510</v>
      </c>
      <c r="C95" s="41">
        <v>120294.75258964099</v>
      </c>
      <c r="D95" s="70">
        <f>IFERROR(FemalePayGapsByOccupationalSeriesAndRacialEthnicGroup[[#This Row],[White Female Employees]]/E$318,"")</f>
        <v>4.7382463888122183E-3</v>
      </c>
      <c r="E95" s="16">
        <v>2163</v>
      </c>
      <c r="F95" s="17">
        <v>118772.654646325</v>
      </c>
      <c r="G95" s="18">
        <f>IFERROR(FemalePayGapsByOccupationalSeriesAndRacialEthnicGroup[[#This Row],[White Female Avg Salary]]/FemalePayGapsByOccupationalSeriesAndRacialEthnicGroup[[#This Row],[White Male Average Salary]],"")</f>
        <v>0.98734692984898276</v>
      </c>
      <c r="H95" s="10" t="str">
        <f>IFERROR(FemalePayGapsByOccupationalSeriesAndRacialEthnicGroup[[#This Row],[AIAN Female Employees]]/I$318,"")</f>
        <v/>
      </c>
      <c r="I95" t="s">
        <v>0</v>
      </c>
      <c r="J95" s="6" t="s">
        <v>0</v>
      </c>
      <c r="K95" s="52" t="str">
        <f>IFERROR(FemalePayGapsByOccupationalSeriesAndRacialEthnicGroup[[#This Row],[AIAN Female Avg Salary]]/FemalePayGapsByOccupationalSeriesAndRacialEthnicGroup[[#This Row],[White Male Average Salary]],"")</f>
        <v/>
      </c>
      <c r="L95" s="10">
        <f>IFERROR(FemalePayGapsByOccupationalSeriesAndRacialEthnicGroup[[#This Row],[ANHPI Female Employees]]/M$318,"")</f>
        <v>1.259449770088068E-2</v>
      </c>
      <c r="M95" s="8">
        <v>808</v>
      </c>
      <c r="N95" s="6">
        <v>120407.806930693</v>
      </c>
      <c r="O95" s="52">
        <f>IFERROR(FemalePayGapsByOccupationalSeriesAndRacialEthnicGroup[[#This Row],[ANHPI Female Avg Salary]]/FemalePayGapsByOccupationalSeriesAndRacialEthnicGroup[[#This Row],[White Male Average Salary]],"")</f>
        <v>1.0009398110775261</v>
      </c>
      <c r="P95" s="10">
        <f>IFERROR(FemalePayGapsByOccupationalSeriesAndRacialEthnicGroup[[#This Row],[Black Female Employees]]/Q$318,"")</f>
        <v>4.1869638571394628E-3</v>
      </c>
      <c r="Q95" s="8">
        <v>881</v>
      </c>
      <c r="R95" s="6">
        <v>111919.362088536</v>
      </c>
      <c r="S95" s="52">
        <f>IFERROR(FemalePayGapsByOccupationalSeriesAndRacialEthnicGroup[[#This Row],[Black Female Avg Salary]]/FemalePayGapsByOccupationalSeriesAndRacialEthnicGroup[[#This Row],[White Male Average Salary]],"")</f>
        <v>0.93037609437814972</v>
      </c>
      <c r="T95" s="10">
        <f>IFERROR(FemalePayGapsByOccupationalSeriesAndRacialEthnicGroup[[#This Row],[Hispanic Latino Female Employees]]/U$318,"")</f>
        <v>5.9220899080922413E-3</v>
      </c>
      <c r="U95" s="8">
        <v>462</v>
      </c>
      <c r="V95" s="6">
        <v>107903.123376623</v>
      </c>
      <c r="W95" s="52">
        <f>IFERROR(FemalePayGapsByOccupationalSeriesAndRacialEthnicGroup[[#This Row],[Hispanic Latino Female Avg Salary]]/FemalePayGapsByOccupationalSeriesAndRacialEthnicGroup[[#This Row],[White Male Average Salary]],"")</f>
        <v>0.89698944512326895</v>
      </c>
      <c r="X95" s="10" t="str">
        <f>IFERROR(FemalePayGapsByOccupationalSeriesAndRacialEthnicGroup[[#This Row],[Other Female Employees]]/Y$318,"")</f>
        <v/>
      </c>
      <c r="Y95" s="8" t="s">
        <v>0</v>
      </c>
      <c r="Z95" s="6" t="s">
        <v>0</v>
      </c>
      <c r="AA9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96" spans="1:27" ht="15.6" x14ac:dyDescent="0.3">
      <c r="A96" s="45" t="s">
        <v>106</v>
      </c>
      <c r="B96" s="38">
        <v>902</v>
      </c>
      <c r="C96" s="39">
        <v>48850.502217294998</v>
      </c>
      <c r="D96" s="69">
        <f>IFERROR(FemalePayGapsByOccupationalSeriesAndRacialEthnicGroup[[#This Row],[White Female Employees]]/E$318,"")</f>
        <v>4.9551148088272014E-3</v>
      </c>
      <c r="E96" s="67">
        <v>2262</v>
      </c>
      <c r="F96" s="64">
        <v>48062.191677734001</v>
      </c>
      <c r="G96" s="72">
        <f>IFERROR(FemalePayGapsByOccupationalSeriesAndRacialEthnicGroup[[#This Row],[White Female Avg Salary]]/FemalePayGapsByOccupationalSeriesAndRacialEthnicGroup[[#This Row],[White Male Average Salary]],"")</f>
        <v>0.98386279559513101</v>
      </c>
      <c r="H96" s="10">
        <f>IFERROR(FemalePayGapsByOccupationalSeriesAndRacialEthnicGroup[[#This Row],[AIAN Female Employees]]/I$318,"")</f>
        <v>1.4103343465045593E-2</v>
      </c>
      <c r="I96">
        <v>232</v>
      </c>
      <c r="J96" s="6">
        <v>52809.599137931</v>
      </c>
      <c r="K96" s="52">
        <f>IFERROR(FemalePayGapsByOccupationalSeriesAndRacialEthnicGroup[[#This Row],[AIAN Female Avg Salary]]/FemalePayGapsByOccupationalSeriesAndRacialEthnicGroup[[#This Row],[White Male Average Salary]],"")</f>
        <v>1.0810451631188005</v>
      </c>
      <c r="L96" s="10">
        <f>IFERROR(FemalePayGapsByOccupationalSeriesAndRacialEthnicGroup[[#This Row],[ANHPI Female Employees]]/M$318,"")</f>
        <v>1.9639934533551553E-3</v>
      </c>
      <c r="M96" s="8">
        <v>126</v>
      </c>
      <c r="N96" s="6">
        <v>52443.047619047997</v>
      </c>
      <c r="O96" s="52">
        <f>IFERROR(FemalePayGapsByOccupationalSeriesAndRacialEthnicGroup[[#This Row],[ANHPI Female Avg Salary]]/FemalePayGapsByOccupationalSeriesAndRacialEthnicGroup[[#This Row],[White Male Average Salary]],"")</f>
        <v>1.0735416267733087</v>
      </c>
      <c r="P96" s="10">
        <f>IFERROR(FemalePayGapsByOccupationalSeriesAndRacialEthnicGroup[[#This Row],[Black Female Employees]]/Q$318,"")</f>
        <v>3.8495354418648861E-3</v>
      </c>
      <c r="Q96" s="8">
        <v>810</v>
      </c>
      <c r="R96" s="6">
        <v>51600.580246914004</v>
      </c>
      <c r="S96" s="52">
        <f>IFERROR(FemalePayGapsByOccupationalSeriesAndRacialEthnicGroup[[#This Row],[Black Female Avg Salary]]/FemalePayGapsByOccupationalSeriesAndRacialEthnicGroup[[#This Row],[White Male Average Salary]],"")</f>
        <v>1.0562957985034875</v>
      </c>
      <c r="T96" s="10">
        <f>IFERROR(FemalePayGapsByOccupationalSeriesAndRacialEthnicGroup[[#This Row],[Hispanic Latino Female Employees]]/U$318,"")</f>
        <v>1.9740299693640803E-3</v>
      </c>
      <c r="U96" s="8">
        <v>154</v>
      </c>
      <c r="V96" s="6">
        <v>53062.655844155997</v>
      </c>
      <c r="W96" s="52">
        <f>IFERROR(FemalePayGapsByOccupationalSeriesAndRacialEthnicGroup[[#This Row],[Hispanic Latino Female Avg Salary]]/FemalePayGapsByOccupationalSeriesAndRacialEthnicGroup[[#This Row],[White Male Average Salary]],"")</f>
        <v>1.0862253904396859</v>
      </c>
      <c r="X96" s="10" t="str">
        <f>IFERROR(FemalePayGapsByOccupationalSeriesAndRacialEthnicGroup[[#This Row],[Other Female Employees]]/Y$318,"")</f>
        <v/>
      </c>
      <c r="Y96" s="8" t="s">
        <v>0</v>
      </c>
      <c r="Z96" s="6" t="s">
        <v>0</v>
      </c>
      <c r="AA9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97" spans="1:27" ht="15.6" x14ac:dyDescent="0.3">
      <c r="A97" s="46" t="s">
        <v>107</v>
      </c>
      <c r="B97" s="40">
        <v>175</v>
      </c>
      <c r="C97" s="41">
        <v>78853.919999999998</v>
      </c>
      <c r="D97" s="70">
        <f>IFERROR(FemalePayGapsByOccupationalSeriesAndRacialEthnicGroup[[#This Row],[White Female Employees]]/E$318,"")</f>
        <v>5.0821690346945661E-4</v>
      </c>
      <c r="E97" s="16">
        <v>232</v>
      </c>
      <c r="F97" s="17">
        <v>74458.581896552001</v>
      </c>
      <c r="G97" s="18">
        <f>IFERROR(FemalePayGapsByOccupationalSeriesAndRacialEthnicGroup[[#This Row],[White Female Avg Salary]]/FemalePayGapsByOccupationalSeriesAndRacialEthnicGroup[[#This Row],[White Male Average Salary]],"")</f>
        <v>0.94425973872385804</v>
      </c>
      <c r="H97" s="10" t="str">
        <f>IFERROR(FemalePayGapsByOccupationalSeriesAndRacialEthnicGroup[[#This Row],[AIAN Female Employees]]/I$318,"")</f>
        <v/>
      </c>
      <c r="I97" t="s">
        <v>0</v>
      </c>
      <c r="J97" s="6" t="s">
        <v>0</v>
      </c>
      <c r="K97" s="52" t="str">
        <f>IFERROR(FemalePayGapsByOccupationalSeriesAndRacialEthnicGroup[[#This Row],[AIAN Female Avg Salary]]/FemalePayGapsByOccupationalSeriesAndRacialEthnicGroup[[#This Row],[White Male Average Salary]],"")</f>
        <v/>
      </c>
      <c r="L97" s="10" t="str">
        <f>IFERROR(FemalePayGapsByOccupationalSeriesAndRacialEthnicGroup[[#This Row],[ANHPI Female Employees]]/M$318,"")</f>
        <v/>
      </c>
      <c r="M97" s="8" t="s">
        <v>0</v>
      </c>
      <c r="N97" s="6" t="s">
        <v>0</v>
      </c>
      <c r="O97" s="52" t="str">
        <f>IFERROR(FemalePayGapsByOccupationalSeriesAndRacialEthnicGroup[[#This Row],[ANHPI Female Avg Salary]]/FemalePayGapsByOccupationalSeriesAndRacialEthnicGroup[[#This Row],[White Male Average Salary]],"")</f>
        <v/>
      </c>
      <c r="P97" s="10">
        <f>IFERROR(FemalePayGapsByOccupationalSeriesAndRacialEthnicGroup[[#This Row],[Black Female Employees]]/Q$318,"")</f>
        <v>1.0455528360620678E-3</v>
      </c>
      <c r="Q97" s="8">
        <v>220</v>
      </c>
      <c r="R97" s="6">
        <v>78302.895454544996</v>
      </c>
      <c r="S97" s="52">
        <f>IFERROR(FemalePayGapsByOccupationalSeriesAndRacialEthnicGroup[[#This Row],[Black Female Avg Salary]]/FemalePayGapsByOccupationalSeriesAndRacialEthnicGroup[[#This Row],[White Male Average Salary]],"")</f>
        <v>0.993012084301516</v>
      </c>
      <c r="T97" s="10">
        <f>IFERROR(FemalePayGapsByOccupationalSeriesAndRacialEthnicGroup[[#This Row],[Hispanic Latino Female Employees]]/U$318,"")</f>
        <v>9.7419660825759813E-4</v>
      </c>
      <c r="U97" s="8">
        <v>76</v>
      </c>
      <c r="V97" s="6">
        <v>76050.197368420995</v>
      </c>
      <c r="W97" s="52">
        <f>IFERROR(FemalePayGapsByOccupationalSeriesAndRacialEthnicGroup[[#This Row],[Hispanic Latino Female Avg Salary]]/FemalePayGapsByOccupationalSeriesAndRacialEthnicGroup[[#This Row],[White Male Average Salary]],"")</f>
        <v>0.96444409318421964</v>
      </c>
      <c r="X97" s="10" t="str">
        <f>IFERROR(FemalePayGapsByOccupationalSeriesAndRacialEthnicGroup[[#This Row],[Other Female Employees]]/Y$318,"")</f>
        <v/>
      </c>
      <c r="Y97" s="8" t="s">
        <v>0</v>
      </c>
      <c r="Z97" s="6" t="s">
        <v>0</v>
      </c>
      <c r="AA9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98" spans="1:27" ht="15.6" x14ac:dyDescent="0.3">
      <c r="A98" s="45" t="s">
        <v>108</v>
      </c>
      <c r="B98" s="38">
        <v>63</v>
      </c>
      <c r="C98" s="39">
        <v>45152.730158730003</v>
      </c>
      <c r="D98" s="69">
        <f>IFERROR(FemalePayGapsByOccupationalSeriesAndRacialEthnicGroup[[#This Row],[White Female Employees]]/E$318,"")</f>
        <v>4.359274301311287E-4</v>
      </c>
      <c r="E98" s="67">
        <v>199</v>
      </c>
      <c r="F98" s="64">
        <v>44919.492462312002</v>
      </c>
      <c r="G98" s="72">
        <f>IFERROR(FemalePayGapsByOccupationalSeriesAndRacialEthnicGroup[[#This Row],[White Female Avg Salary]]/FemalePayGapsByOccupationalSeriesAndRacialEthnicGroup[[#This Row],[White Male Average Salary]],"")</f>
        <v>0.99483447190019125</v>
      </c>
      <c r="H98" s="10" t="str">
        <f>IFERROR(FemalePayGapsByOccupationalSeriesAndRacialEthnicGroup[[#This Row],[AIAN Female Employees]]/I$318,"")</f>
        <v/>
      </c>
      <c r="I98" t="s">
        <v>0</v>
      </c>
      <c r="J98" s="6" t="s">
        <v>0</v>
      </c>
      <c r="K98" s="52" t="str">
        <f>IFERROR(FemalePayGapsByOccupationalSeriesAndRacialEthnicGroup[[#This Row],[AIAN Female Avg Salary]]/FemalePayGapsByOccupationalSeriesAndRacialEthnicGroup[[#This Row],[White Male Average Salary]],"")</f>
        <v/>
      </c>
      <c r="L98" s="10" t="str">
        <f>IFERROR(FemalePayGapsByOccupationalSeriesAndRacialEthnicGroup[[#This Row],[ANHPI Female Employees]]/M$318,"")</f>
        <v/>
      </c>
      <c r="M98" s="8" t="s">
        <v>0</v>
      </c>
      <c r="N98" s="6" t="s">
        <v>0</v>
      </c>
      <c r="O98" s="52" t="str">
        <f>IFERROR(FemalePayGapsByOccupationalSeriesAndRacialEthnicGroup[[#This Row],[ANHPI Female Avg Salary]]/FemalePayGapsByOccupationalSeriesAndRacialEthnicGroup[[#This Row],[White Male Average Salary]],"")</f>
        <v/>
      </c>
      <c r="P98" s="10">
        <f>IFERROR(FemalePayGapsByOccupationalSeriesAndRacialEthnicGroup[[#This Row],[Black Female Employees]]/Q$318,"")</f>
        <v>4.6099375044554808E-4</v>
      </c>
      <c r="Q98" s="8">
        <v>97</v>
      </c>
      <c r="R98" s="6">
        <v>44817.381443298997</v>
      </c>
      <c r="S98" s="52">
        <f>IFERROR(FemalePayGapsByOccupationalSeriesAndRacialEthnicGroup[[#This Row],[Black Female Avg Salary]]/FemalePayGapsByOccupationalSeriesAndRacialEthnicGroup[[#This Row],[White Male Average Salary]],"")</f>
        <v>0.99257301354199134</v>
      </c>
      <c r="T98" s="10" t="str">
        <f>IFERROR(FemalePayGapsByOccupationalSeriesAndRacialEthnicGroup[[#This Row],[Hispanic Latino Female Employees]]/U$318,"")</f>
        <v/>
      </c>
      <c r="U98" s="8" t="s">
        <v>0</v>
      </c>
      <c r="V98" s="47" t="s">
        <v>0</v>
      </c>
      <c r="W9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98" s="10" t="str">
        <f>IFERROR(FemalePayGapsByOccupationalSeriesAndRacialEthnicGroup[[#This Row],[Other Female Employees]]/Y$318,"")</f>
        <v/>
      </c>
      <c r="Y98" s="8" t="s">
        <v>0</v>
      </c>
      <c r="Z98" s="6" t="s">
        <v>0</v>
      </c>
      <c r="AA9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99" spans="1:27" ht="15.6" x14ac:dyDescent="0.3">
      <c r="A99" s="46" t="s">
        <v>109</v>
      </c>
      <c r="B99" s="40">
        <v>103</v>
      </c>
      <c r="C99" s="41">
        <v>53197.009708737998</v>
      </c>
      <c r="D99" s="70">
        <f>IFERROR(FemalePayGapsByOccupationalSeriesAndRacialEthnicGroup[[#This Row],[White Female Employees]]/E$318,"")</f>
        <v>4.8412041235668064E-4</v>
      </c>
      <c r="E99" s="16">
        <v>221</v>
      </c>
      <c r="F99" s="17">
        <v>52190.294117646998</v>
      </c>
      <c r="G99" s="18">
        <f>IFERROR(FemalePayGapsByOccupationalSeriesAndRacialEthnicGroup[[#This Row],[White Female Avg Salary]]/FemalePayGapsByOccupationalSeriesAndRacialEthnicGroup[[#This Row],[White Male Average Salary]],"")</f>
        <v>0.98107571089798229</v>
      </c>
      <c r="H99" s="10" t="str">
        <f>IFERROR(FemalePayGapsByOccupationalSeriesAndRacialEthnicGroup[[#This Row],[AIAN Female Employees]]/I$318,"")</f>
        <v/>
      </c>
      <c r="I99" t="s">
        <v>0</v>
      </c>
      <c r="J99" s="6" t="s">
        <v>0</v>
      </c>
      <c r="K99" s="52" t="str">
        <f>IFERROR(FemalePayGapsByOccupationalSeriesAndRacialEthnicGroup[[#This Row],[AIAN Female Avg Salary]]/FemalePayGapsByOccupationalSeriesAndRacialEthnicGroup[[#This Row],[White Male Average Salary]],"")</f>
        <v/>
      </c>
      <c r="L99" s="10" t="str">
        <f>IFERROR(FemalePayGapsByOccupationalSeriesAndRacialEthnicGroup[[#This Row],[ANHPI Female Employees]]/M$318,"")</f>
        <v/>
      </c>
      <c r="M99" s="8" t="s">
        <v>0</v>
      </c>
      <c r="N99" s="6" t="s">
        <v>0</v>
      </c>
      <c r="O99" s="52" t="str">
        <f>IFERROR(FemalePayGapsByOccupationalSeriesAndRacialEthnicGroup[[#This Row],[ANHPI Female Avg Salary]]/FemalePayGapsByOccupationalSeriesAndRacialEthnicGroup[[#This Row],[White Male Average Salary]],"")</f>
        <v/>
      </c>
      <c r="P99" s="10">
        <f>IFERROR(FemalePayGapsByOccupationalSeriesAndRacialEthnicGroup[[#This Row],[Black Female Employees]]/Q$318,"")</f>
        <v>6.2733170163724067E-4</v>
      </c>
      <c r="Q99" s="8">
        <v>132</v>
      </c>
      <c r="R99" s="6">
        <v>52267.545454544997</v>
      </c>
      <c r="S99" s="52">
        <f>IFERROR(FemalePayGapsByOccupationalSeriesAndRacialEthnicGroup[[#This Row],[Black Female Avg Salary]]/FemalePayGapsByOccupationalSeriesAndRacialEthnicGroup[[#This Row],[White Male Average Salary]],"")</f>
        <v>0.98252788532133739</v>
      </c>
      <c r="T99" s="10" t="str">
        <f>IFERROR(FemalePayGapsByOccupationalSeriesAndRacialEthnicGroup[[#This Row],[Hispanic Latino Female Employees]]/U$318,"")</f>
        <v/>
      </c>
      <c r="U99" s="8" t="s">
        <v>0</v>
      </c>
      <c r="V99" s="47" t="s">
        <v>0</v>
      </c>
      <c r="W9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99" s="10" t="str">
        <f>IFERROR(FemalePayGapsByOccupationalSeriesAndRacialEthnicGroup[[#This Row],[Other Female Employees]]/Y$318,"")</f>
        <v/>
      </c>
      <c r="Y99" s="8" t="s">
        <v>0</v>
      </c>
      <c r="Z99" s="6" t="s">
        <v>0</v>
      </c>
      <c r="AA9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00" spans="1:27" ht="15.6" x14ac:dyDescent="0.3">
      <c r="A100" s="45" t="s">
        <v>110</v>
      </c>
      <c r="B100" s="38">
        <v>204</v>
      </c>
      <c r="C100" s="39">
        <v>49312.044117646998</v>
      </c>
      <c r="D100" s="69">
        <f>IFERROR(FemalePayGapsByOccupationalSeriesAndRacialEthnicGroup[[#This Row],[White Female Employees]]/E$318,"")</f>
        <v>1.020814987141236E-3</v>
      </c>
      <c r="E100" s="67">
        <v>466</v>
      </c>
      <c r="F100" s="64">
        <v>49764.584946237002</v>
      </c>
      <c r="G100" s="72">
        <f>IFERROR(FemalePayGapsByOccupationalSeriesAndRacialEthnicGroup[[#This Row],[White Female Avg Salary]]/FemalePayGapsByOccupationalSeriesAndRacialEthnicGroup[[#This Row],[White Male Average Salary]],"")</f>
        <v>1.0091770851662598</v>
      </c>
      <c r="H100" s="10" t="str">
        <f>IFERROR(FemalePayGapsByOccupationalSeriesAndRacialEthnicGroup[[#This Row],[AIAN Female Employees]]/I$318,"")</f>
        <v/>
      </c>
      <c r="I100" t="s">
        <v>0</v>
      </c>
      <c r="J100" s="6" t="s">
        <v>0</v>
      </c>
      <c r="K100" s="52" t="str">
        <f>IFERROR(FemalePayGapsByOccupationalSeriesAndRacialEthnicGroup[[#This Row],[AIAN Female Avg Salary]]/FemalePayGapsByOccupationalSeriesAndRacialEthnicGroup[[#This Row],[White Male Average Salary]],"")</f>
        <v/>
      </c>
      <c r="L100" s="10" t="str">
        <f>IFERROR(FemalePayGapsByOccupationalSeriesAndRacialEthnicGroup[[#This Row],[ANHPI Female Employees]]/M$318,"")</f>
        <v/>
      </c>
      <c r="M100" s="8" t="s">
        <v>0</v>
      </c>
      <c r="N100" s="6" t="s">
        <v>0</v>
      </c>
      <c r="O100" s="52" t="str">
        <f>IFERROR(FemalePayGapsByOccupationalSeriesAndRacialEthnicGroup[[#This Row],[ANHPI Female Avg Salary]]/FemalePayGapsByOccupationalSeriesAndRacialEthnicGroup[[#This Row],[White Male Average Salary]],"")</f>
        <v/>
      </c>
      <c r="P100" s="10">
        <f>IFERROR(FemalePayGapsByOccupationalSeriesAndRacialEthnicGroup[[#This Row],[Black Female Employees]]/Q$318,"")</f>
        <v>1.2926835064040112E-3</v>
      </c>
      <c r="Q100" s="8">
        <v>272</v>
      </c>
      <c r="R100" s="6">
        <v>49169.523985239997</v>
      </c>
      <c r="S100" s="52">
        <f>IFERROR(FemalePayGapsByOccupationalSeriesAndRacialEthnicGroup[[#This Row],[Black Female Avg Salary]]/FemalePayGapsByOccupationalSeriesAndRacialEthnicGroup[[#This Row],[White Male Average Salary]],"")</f>
        <v>0.9971098311790324</v>
      </c>
      <c r="T100" s="10">
        <f>IFERROR(FemalePayGapsByOccupationalSeriesAndRacialEthnicGroup[[#This Row],[Hispanic Latino Female Employees]]/U$318,"")</f>
        <v>1.0511068668042506E-3</v>
      </c>
      <c r="U100" s="8">
        <v>82</v>
      </c>
      <c r="V100" s="6">
        <v>49555.695121951001</v>
      </c>
      <c r="W100" s="52">
        <f>IFERROR(FemalePayGapsByOccupationalSeriesAndRacialEthnicGroup[[#This Row],[Hispanic Latino Female Avg Salary]]/FemalePayGapsByOccupationalSeriesAndRacialEthnicGroup[[#This Row],[White Male Average Salary]],"")</f>
        <v>1.0049410039405933</v>
      </c>
      <c r="X100" s="10" t="str">
        <f>IFERROR(FemalePayGapsByOccupationalSeriesAndRacialEthnicGroup[[#This Row],[Other Female Employees]]/Y$318,"")</f>
        <v/>
      </c>
      <c r="Y100" s="8" t="s">
        <v>0</v>
      </c>
      <c r="Z100" s="6" t="s">
        <v>0</v>
      </c>
      <c r="AA10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01" spans="1:27" ht="15.6" x14ac:dyDescent="0.3">
      <c r="A101" s="46" t="s">
        <v>111</v>
      </c>
      <c r="B101" s="40">
        <v>294</v>
      </c>
      <c r="C101" s="41">
        <v>49670.210884353997</v>
      </c>
      <c r="D101" s="70">
        <f>IFERROR(FemalePayGapsByOccupationalSeriesAndRacialEthnicGroup[[#This Row],[White Female Employees]]/E$318,"")</f>
        <v>1.0865326901760796E-3</v>
      </c>
      <c r="E101" s="16">
        <v>496</v>
      </c>
      <c r="F101" s="17">
        <v>48757.677419355001</v>
      </c>
      <c r="G101" s="18">
        <f>IFERROR(FemalePayGapsByOccupationalSeriesAndRacialEthnicGroup[[#This Row],[White Female Avg Salary]]/FemalePayGapsByOccupationalSeriesAndRacialEthnicGroup[[#This Row],[White Male Average Salary]],"")</f>
        <v>0.9816281540031383</v>
      </c>
      <c r="H101" s="10" t="str">
        <f>IFERROR(FemalePayGapsByOccupationalSeriesAndRacialEthnicGroup[[#This Row],[AIAN Female Employees]]/I$318,"")</f>
        <v/>
      </c>
      <c r="I101" t="s">
        <v>0</v>
      </c>
      <c r="J101" s="6" t="s">
        <v>0</v>
      </c>
      <c r="K101" s="52" t="str">
        <f>IFERROR(FemalePayGapsByOccupationalSeriesAndRacialEthnicGroup[[#This Row],[AIAN Female Avg Salary]]/FemalePayGapsByOccupationalSeriesAndRacialEthnicGroup[[#This Row],[White Male Average Salary]],"")</f>
        <v/>
      </c>
      <c r="L101" s="10" t="str">
        <f>IFERROR(FemalePayGapsByOccupationalSeriesAndRacialEthnicGroup[[#This Row],[ANHPI Female Employees]]/M$318,"")</f>
        <v/>
      </c>
      <c r="M101" s="8" t="s">
        <v>0</v>
      </c>
      <c r="N101" s="6" t="s">
        <v>0</v>
      </c>
      <c r="O101" s="52" t="str">
        <f>IFERROR(FemalePayGapsByOccupationalSeriesAndRacialEthnicGroup[[#This Row],[ANHPI Female Avg Salary]]/FemalePayGapsByOccupationalSeriesAndRacialEthnicGroup[[#This Row],[White Male Average Salary]],"")</f>
        <v/>
      </c>
      <c r="P101" s="10">
        <f>IFERROR(FemalePayGapsByOccupationalSeriesAndRacialEthnicGroup[[#This Row],[Black Female Employees]]/Q$318,"")</f>
        <v>1.6063493572226314E-3</v>
      </c>
      <c r="Q101" s="8">
        <v>338</v>
      </c>
      <c r="R101" s="6">
        <v>50518.639053254003</v>
      </c>
      <c r="S101" s="52">
        <f>IFERROR(FemalePayGapsByOccupationalSeriesAndRacialEthnicGroup[[#This Row],[Black Female Avg Salary]]/FemalePayGapsByOccupationalSeriesAndRacialEthnicGroup[[#This Row],[White Male Average Salary]],"")</f>
        <v>1.0170812274358041</v>
      </c>
      <c r="T101" s="10">
        <f>IFERROR(FemalePayGapsByOccupationalSeriesAndRacialEthnicGroup[[#This Row],[Hispanic Latino Female Employees]]/U$318,"")</f>
        <v>1.0895619960775767E-3</v>
      </c>
      <c r="U101" s="8">
        <v>85</v>
      </c>
      <c r="V101" s="6">
        <v>48873.647058823997</v>
      </c>
      <c r="W101" s="52">
        <f>IFERROR(FemalePayGapsByOccupationalSeriesAndRacialEthnicGroup[[#This Row],[Hispanic Latino Female Avg Salary]]/FemalePayGapsByOccupationalSeriesAndRacialEthnicGroup[[#This Row],[White Male Average Salary]],"")</f>
        <v>0.98396294657607508</v>
      </c>
      <c r="X101" s="10" t="str">
        <f>IFERROR(FemalePayGapsByOccupationalSeriesAndRacialEthnicGroup[[#This Row],[Other Female Employees]]/Y$318,"")</f>
        <v/>
      </c>
      <c r="Y101" s="8" t="s">
        <v>0</v>
      </c>
      <c r="Z101" s="6" t="s">
        <v>0</v>
      </c>
      <c r="AA10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02" spans="1:27" ht="15.6" x14ac:dyDescent="0.3">
      <c r="A102" s="45" t="s">
        <v>112</v>
      </c>
      <c r="B102" s="38">
        <v>2867</v>
      </c>
      <c r="C102" s="39">
        <v>107594.93058946601</v>
      </c>
      <c r="D102" s="69">
        <f>IFERROR(FemalePayGapsByOccupationalSeriesAndRacialEthnicGroup[[#This Row],[White Female Employees]]/E$318,"")</f>
        <v>1.0368062948797148E-2</v>
      </c>
      <c r="E102" s="67">
        <v>4733</v>
      </c>
      <c r="F102" s="64">
        <v>98804.430382420993</v>
      </c>
      <c r="G102" s="72">
        <f>IFERROR(FemalePayGapsByOccupationalSeriesAndRacialEthnicGroup[[#This Row],[White Female Avg Salary]]/FemalePayGapsByOccupationalSeriesAndRacialEthnicGroup[[#This Row],[White Male Average Salary]],"")</f>
        <v>0.91830005225259526</v>
      </c>
      <c r="H102" s="10">
        <f>IFERROR(FemalePayGapsByOccupationalSeriesAndRacialEthnicGroup[[#This Row],[AIAN Female Employees]]/I$318,"")</f>
        <v>1.0699088145896657E-2</v>
      </c>
      <c r="I102">
        <v>176</v>
      </c>
      <c r="J102" s="6">
        <v>87771.982954545005</v>
      </c>
      <c r="K102" s="52">
        <f>IFERROR(FemalePayGapsByOccupationalSeriesAndRacialEthnicGroup[[#This Row],[AIAN Female Avg Salary]]/FemalePayGapsByOccupationalSeriesAndRacialEthnicGroup[[#This Row],[White Male Average Salary]],"")</f>
        <v>0.81576318209120391</v>
      </c>
      <c r="L102" s="10">
        <f>IFERROR(FemalePayGapsByOccupationalSeriesAndRacialEthnicGroup[[#This Row],[ANHPI Female Employees]]/M$318,"")</f>
        <v>1.094224924012158E-2</v>
      </c>
      <c r="M102" s="8">
        <v>702</v>
      </c>
      <c r="N102" s="6">
        <v>105113.69373219401</v>
      </c>
      <c r="O102" s="52">
        <f>IFERROR(FemalePayGapsByOccupationalSeriesAndRacialEthnicGroup[[#This Row],[ANHPI Female Avg Salary]]/FemalePayGapsByOccupationalSeriesAndRacialEthnicGroup[[#This Row],[White Male Average Salary]],"")</f>
        <v>0.97693909142672075</v>
      </c>
      <c r="P102" s="10">
        <f>IFERROR(FemalePayGapsByOccupationalSeriesAndRacialEthnicGroup[[#This Row],[Black Female Employees]]/Q$318,"")</f>
        <v>1.2185443053014281E-2</v>
      </c>
      <c r="Q102" s="8">
        <v>2564</v>
      </c>
      <c r="R102" s="6">
        <v>110707.278189622</v>
      </c>
      <c r="S102" s="52">
        <f>IFERROR(FemalePayGapsByOccupationalSeriesAndRacialEthnicGroup[[#This Row],[Black Female Avg Salary]]/FemalePayGapsByOccupationalSeriesAndRacialEthnicGroup[[#This Row],[White Male Average Salary]],"")</f>
        <v>1.0289265263995691</v>
      </c>
      <c r="T102" s="10">
        <f>IFERROR(FemalePayGapsByOccupationalSeriesAndRacialEthnicGroup[[#This Row],[Hispanic Latino Female Employees]]/U$318,"")</f>
        <v>9.8573314703959605E-3</v>
      </c>
      <c r="U102" s="8">
        <v>769</v>
      </c>
      <c r="V102" s="6">
        <v>93917.222366710004</v>
      </c>
      <c r="W102" s="52">
        <f>IFERROR(FemalePayGapsByOccupationalSeriesAndRacialEthnicGroup[[#This Row],[Hispanic Latino Female Avg Salary]]/FemalePayGapsByOccupationalSeriesAndRacialEthnicGroup[[#This Row],[White Male Average Salary]],"")</f>
        <v>0.87287776340556411</v>
      </c>
      <c r="X102" s="10">
        <f>IFERROR(FemalePayGapsByOccupationalSeriesAndRacialEthnicGroup[[#This Row],[Other Female Employees]]/Y$318,"")</f>
        <v>1.3622746029054321E-2</v>
      </c>
      <c r="Y102" s="8">
        <v>241</v>
      </c>
      <c r="Z102" s="6">
        <v>98226.751037344002</v>
      </c>
      <c r="AA102" s="1">
        <f>IFERROR(FemalePayGapsByOccupationalSeriesAndRacialEthnicGroup[[#This Row],[Other Female Avg Salary]]/FemalePayGapsByOccupationalSeriesAndRacialEthnicGroup[[#This Row],[White Male Average Salary]],"")</f>
        <v>0.91293103215181415</v>
      </c>
    </row>
    <row r="103" spans="1:27" ht="15.6" x14ac:dyDescent="0.3">
      <c r="A103" s="46" t="s">
        <v>113</v>
      </c>
      <c r="B103" s="40">
        <v>72</v>
      </c>
      <c r="C103" s="41">
        <v>51381.777777777999</v>
      </c>
      <c r="D103" s="70">
        <f>IFERROR(FemalePayGapsByOccupationalSeriesAndRacialEthnicGroup[[#This Row],[White Female Employees]]/E$318,"")</f>
        <v>4.5345215094042034E-4</v>
      </c>
      <c r="E103" s="16">
        <v>207</v>
      </c>
      <c r="F103" s="17">
        <v>51827.826086957</v>
      </c>
      <c r="G103" s="18">
        <f>IFERROR(FemalePayGapsByOccupationalSeriesAndRacialEthnicGroup[[#This Row],[White Female Avg Salary]]/FemalePayGapsByOccupationalSeriesAndRacialEthnicGroup[[#This Row],[White Male Average Salary]],"")</f>
        <v>1.0086810602604706</v>
      </c>
      <c r="H103" s="10" t="str">
        <f>IFERROR(FemalePayGapsByOccupationalSeriesAndRacialEthnicGroup[[#This Row],[AIAN Female Employees]]/I$318,"")</f>
        <v/>
      </c>
      <c r="I103" t="s">
        <v>0</v>
      </c>
      <c r="J103" s="6" t="s">
        <v>0</v>
      </c>
      <c r="K103" s="52" t="str">
        <f>IFERROR(FemalePayGapsByOccupationalSeriesAndRacialEthnicGroup[[#This Row],[AIAN Female Avg Salary]]/FemalePayGapsByOccupationalSeriesAndRacialEthnicGroup[[#This Row],[White Male Average Salary]],"")</f>
        <v/>
      </c>
      <c r="L103" s="10" t="str">
        <f>IFERROR(FemalePayGapsByOccupationalSeriesAndRacialEthnicGroup[[#This Row],[ANHPI Female Employees]]/M$318,"")</f>
        <v/>
      </c>
      <c r="M103" s="8" t="s">
        <v>0</v>
      </c>
      <c r="N103" s="6" t="s">
        <v>0</v>
      </c>
      <c r="O103" s="52" t="str">
        <f>IFERROR(FemalePayGapsByOccupationalSeriesAndRacialEthnicGroup[[#This Row],[ANHPI Female Avg Salary]]/FemalePayGapsByOccupationalSeriesAndRacialEthnicGroup[[#This Row],[White Male Average Salary]],"")</f>
        <v/>
      </c>
      <c r="P103" s="10">
        <f>IFERROR(FemalePayGapsByOccupationalSeriesAndRacialEthnicGroup[[#This Row],[Black Female Employees]]/Q$318,"")</f>
        <v>3.6119097973053254E-4</v>
      </c>
      <c r="Q103" s="8">
        <v>76</v>
      </c>
      <c r="R103" s="6">
        <v>55704.473684211</v>
      </c>
      <c r="S103" s="52">
        <f>IFERROR(FemalePayGapsByOccupationalSeriesAndRacialEthnicGroup[[#This Row],[Black Female Avg Salary]]/FemalePayGapsByOccupationalSeriesAndRacialEthnicGroup[[#This Row],[White Male Average Salary]],"")</f>
        <v>1.0841289673768841</v>
      </c>
      <c r="T103" s="10" t="str">
        <f>IFERROR(FemalePayGapsByOccupationalSeriesAndRacialEthnicGroup[[#This Row],[Hispanic Latino Female Employees]]/U$318,"")</f>
        <v/>
      </c>
      <c r="U103" s="8" t="s">
        <v>0</v>
      </c>
      <c r="V103" s="6" t="s">
        <v>0</v>
      </c>
      <c r="W10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03" s="10" t="str">
        <f>IFERROR(FemalePayGapsByOccupationalSeriesAndRacialEthnicGroup[[#This Row],[Other Female Employees]]/Y$318,"")</f>
        <v/>
      </c>
      <c r="Y103" s="8" t="s">
        <v>0</v>
      </c>
      <c r="Z103" s="6" t="s">
        <v>0</v>
      </c>
      <c r="AA10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04" spans="1:27" ht="15.6" x14ac:dyDescent="0.3">
      <c r="A104" s="45" t="s">
        <v>114</v>
      </c>
      <c r="B104" s="38">
        <v>2550</v>
      </c>
      <c r="C104" s="39">
        <v>146841.746062992</v>
      </c>
      <c r="D104" s="69">
        <f>IFERROR(FemalePayGapsByOccupationalSeriesAndRacialEthnicGroup[[#This Row],[White Female Employees]]/E$318,"")</f>
        <v>2.885007163229631E-3</v>
      </c>
      <c r="E104" s="67">
        <v>1317</v>
      </c>
      <c r="F104" s="64">
        <v>147913.91844512199</v>
      </c>
      <c r="G104" s="72">
        <f>IFERROR(FemalePayGapsByOccupationalSeriesAndRacialEthnicGroup[[#This Row],[White Female Avg Salary]]/FemalePayGapsByOccupationalSeriesAndRacialEthnicGroup[[#This Row],[White Male Average Salary]],"")</f>
        <v>1.0073015502122269</v>
      </c>
      <c r="H104" s="10" t="str">
        <f>IFERROR(FemalePayGapsByOccupationalSeriesAndRacialEthnicGroup[[#This Row],[AIAN Female Employees]]/I$318,"")</f>
        <v/>
      </c>
      <c r="I104" t="s">
        <v>0</v>
      </c>
      <c r="J104" s="6" t="s">
        <v>0</v>
      </c>
      <c r="K104" s="52" t="str">
        <f>IFERROR(FemalePayGapsByOccupationalSeriesAndRacialEthnicGroup[[#This Row],[AIAN Female Avg Salary]]/FemalePayGapsByOccupationalSeriesAndRacialEthnicGroup[[#This Row],[White Male Average Salary]],"")</f>
        <v/>
      </c>
      <c r="L104" s="10">
        <f>IFERROR(FemalePayGapsByOccupationalSeriesAndRacialEthnicGroup[[#This Row],[ANHPI Female Employees]]/M$318,"")</f>
        <v>2.2913256955810145E-3</v>
      </c>
      <c r="M104" s="8">
        <v>147</v>
      </c>
      <c r="N104" s="6">
        <v>153343.816326531</v>
      </c>
      <c r="O104" s="52">
        <f>IFERROR(FemalePayGapsByOccupationalSeriesAndRacialEthnicGroup[[#This Row],[ANHPI Female Avg Salary]]/FemalePayGapsByOccupationalSeriesAndRacialEthnicGroup[[#This Row],[White Male Average Salary]],"")</f>
        <v>1.0442794398586746</v>
      </c>
      <c r="P104" s="10">
        <f>IFERROR(FemalePayGapsByOccupationalSeriesAndRacialEthnicGroup[[#This Row],[Black Female Employees]]/Q$318,"")</f>
        <v>1.6776370505904997E-3</v>
      </c>
      <c r="Q104" s="8">
        <v>353</v>
      </c>
      <c r="R104" s="6">
        <v>135958.085470085</v>
      </c>
      <c r="S104" s="52">
        <f>IFERROR(FemalePayGapsByOccupationalSeriesAndRacialEthnicGroup[[#This Row],[Black Female Avg Salary]]/FemalePayGapsByOccupationalSeriesAndRacialEthnicGroup[[#This Row],[White Male Average Salary]],"")</f>
        <v>0.92588169996127578</v>
      </c>
      <c r="T104" s="10">
        <f>IFERROR(FemalePayGapsByOccupationalSeriesAndRacialEthnicGroup[[#This Row],[Hispanic Latino Female Employees]]/U$318,"")</f>
        <v>1.6792073116019125E-3</v>
      </c>
      <c r="U104" s="8">
        <v>131</v>
      </c>
      <c r="V104" s="6">
        <v>139627.65648855001</v>
      </c>
      <c r="W104" s="52">
        <f>IFERROR(FemalePayGapsByOccupationalSeriesAndRacialEthnicGroup[[#This Row],[Hispanic Latino Female Avg Salary]]/FemalePayGapsByOccupationalSeriesAndRacialEthnicGroup[[#This Row],[White Male Average Salary]],"")</f>
        <v>0.95087167125248362</v>
      </c>
      <c r="X104" s="10" t="str">
        <f>IFERROR(FemalePayGapsByOccupationalSeriesAndRacialEthnicGroup[[#This Row],[Other Female Employees]]/Y$318,"")</f>
        <v/>
      </c>
      <c r="Y104" s="8" t="s">
        <v>0</v>
      </c>
      <c r="Z104" s="6" t="s">
        <v>0</v>
      </c>
      <c r="AA10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05" spans="1:27" ht="15.6" x14ac:dyDescent="0.3">
      <c r="A105" s="46" t="s">
        <v>115</v>
      </c>
      <c r="B105" s="40">
        <v>361</v>
      </c>
      <c r="C105" s="41">
        <v>106721.817174515</v>
      </c>
      <c r="D105" s="70">
        <f>IFERROR(FemalePayGapsByOccupationalSeriesAndRacialEthnicGroup[[#This Row],[White Female Employees]]/E$318,"")</f>
        <v>4.3154624992880583E-4</v>
      </c>
      <c r="E105" s="16">
        <v>197</v>
      </c>
      <c r="F105" s="17">
        <v>113315.629441624</v>
      </c>
      <c r="G105" s="18">
        <f>IFERROR(FemalePayGapsByOccupationalSeriesAndRacialEthnicGroup[[#This Row],[White Female Avg Salary]]/FemalePayGapsByOccupationalSeriesAndRacialEthnicGroup[[#This Row],[White Male Average Salary]],"")</f>
        <v>1.0617850449109818</v>
      </c>
      <c r="H105" s="10" t="str">
        <f>IFERROR(FemalePayGapsByOccupationalSeriesAndRacialEthnicGroup[[#This Row],[AIAN Female Employees]]/I$318,"")</f>
        <v/>
      </c>
      <c r="I105" t="s">
        <v>0</v>
      </c>
      <c r="J105" s="6" t="s">
        <v>0</v>
      </c>
      <c r="K105" s="52" t="str">
        <f>IFERROR(FemalePayGapsByOccupationalSeriesAndRacialEthnicGroup[[#This Row],[AIAN Female Avg Salary]]/FemalePayGapsByOccupationalSeriesAndRacialEthnicGroup[[#This Row],[White Male Average Salary]],"")</f>
        <v/>
      </c>
      <c r="L105" s="10" t="str">
        <f>IFERROR(FemalePayGapsByOccupationalSeriesAndRacialEthnicGroup[[#This Row],[ANHPI Female Employees]]/M$318,"")</f>
        <v/>
      </c>
      <c r="M105" s="8" t="s">
        <v>0</v>
      </c>
      <c r="N105" s="6" t="s">
        <v>0</v>
      </c>
      <c r="O105" s="52" t="str">
        <f>IFERROR(FemalePayGapsByOccupationalSeriesAndRacialEthnicGroup[[#This Row],[ANHPI Female Avg Salary]]/FemalePayGapsByOccupationalSeriesAndRacialEthnicGroup[[#This Row],[White Male Average Salary]],"")</f>
        <v/>
      </c>
      <c r="P105" s="10" t="str">
        <f>IFERROR(FemalePayGapsByOccupationalSeriesAndRacialEthnicGroup[[#This Row],[Black Female Employees]]/Q$318,"")</f>
        <v/>
      </c>
      <c r="Q105" s="8" t="s">
        <v>0</v>
      </c>
      <c r="R105" s="6" t="s">
        <v>0</v>
      </c>
      <c r="S105" s="52" t="str">
        <f>IFERROR(FemalePayGapsByOccupationalSeriesAndRacialEthnicGroup[[#This Row],[Black Female Avg Salary]]/FemalePayGapsByOccupationalSeriesAndRacialEthnicGroup[[#This Row],[White Male Average Salary]],"")</f>
        <v/>
      </c>
      <c r="T105" s="10" t="str">
        <f>IFERROR(FemalePayGapsByOccupationalSeriesAndRacialEthnicGroup[[#This Row],[Hispanic Latino Female Employees]]/U$318,"")</f>
        <v/>
      </c>
      <c r="U105" s="8" t="s">
        <v>0</v>
      </c>
      <c r="V105" s="6" t="s">
        <v>0</v>
      </c>
      <c r="W10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05" s="10" t="str">
        <f>IFERROR(FemalePayGapsByOccupationalSeriesAndRacialEthnicGroup[[#This Row],[Other Female Employees]]/Y$318,"")</f>
        <v/>
      </c>
      <c r="Y105" s="8" t="s">
        <v>0</v>
      </c>
      <c r="Z105" s="6" t="s">
        <v>0</v>
      </c>
      <c r="AA10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06" spans="1:27" ht="15.6" x14ac:dyDescent="0.3">
      <c r="A106" s="45" t="s">
        <v>116</v>
      </c>
      <c r="B106" s="38">
        <v>1282</v>
      </c>
      <c r="C106" s="39">
        <v>53954.406396256003</v>
      </c>
      <c r="D106" s="69">
        <f>IFERROR(FemalePayGapsByOccupationalSeriesAndRacialEthnicGroup[[#This Row],[White Female Employees]]/E$318,"")</f>
        <v>6.8105446245109507E-3</v>
      </c>
      <c r="E106" s="67">
        <v>3109</v>
      </c>
      <c r="F106" s="64">
        <v>54228.211965262002</v>
      </c>
      <c r="G106" s="72">
        <f>IFERROR(FemalePayGapsByOccupationalSeriesAndRacialEthnicGroup[[#This Row],[White Female Avg Salary]]/FemalePayGapsByOccupationalSeriesAndRacialEthnicGroup[[#This Row],[White Male Average Salary]],"")</f>
        <v>1.0050747582504216</v>
      </c>
      <c r="H106" s="10" t="str">
        <f>IFERROR(FemalePayGapsByOccupationalSeriesAndRacialEthnicGroup[[#This Row],[AIAN Female Employees]]/I$318,"")</f>
        <v/>
      </c>
      <c r="I106" t="s">
        <v>0</v>
      </c>
      <c r="J106" s="6" t="s">
        <v>0</v>
      </c>
      <c r="K106" s="52" t="str">
        <f>IFERROR(FemalePayGapsByOccupationalSeriesAndRacialEthnicGroup[[#This Row],[AIAN Female Avg Salary]]/FemalePayGapsByOccupationalSeriesAndRacialEthnicGroup[[#This Row],[White Male Average Salary]],"")</f>
        <v/>
      </c>
      <c r="L106" s="10">
        <f>IFERROR(FemalePayGapsByOccupationalSeriesAndRacialEthnicGroup[[#This Row],[ANHPI Female Employees]]/M$318,"")</f>
        <v>5.5958226170992132E-3</v>
      </c>
      <c r="M106" s="8">
        <v>359</v>
      </c>
      <c r="N106" s="6">
        <v>51934.770949721002</v>
      </c>
      <c r="O106" s="52">
        <f>IFERROR(FemalePayGapsByOccupationalSeriesAndRacialEthnicGroup[[#This Row],[ANHPI Female Avg Salary]]/FemalePayGapsByOccupationalSeriesAndRacialEthnicGroup[[#This Row],[White Male Average Salary]],"")</f>
        <v>0.96256773855128264</v>
      </c>
      <c r="P106" s="10">
        <f>IFERROR(FemalePayGapsByOccupationalSeriesAndRacialEthnicGroup[[#This Row],[Black Female Employees]]/Q$318,"")</f>
        <v>9.2103699831285798E-3</v>
      </c>
      <c r="Q106" s="8">
        <v>1938</v>
      </c>
      <c r="R106" s="6">
        <v>53255.523219814</v>
      </c>
      <c r="S106" s="52">
        <f>IFERROR(FemalePayGapsByOccupationalSeriesAndRacialEthnicGroup[[#This Row],[Black Female Avg Salary]]/FemalePayGapsByOccupationalSeriesAndRacialEthnicGroup[[#This Row],[White Male Average Salary]],"")</f>
        <v>0.98704678221628073</v>
      </c>
      <c r="T106" s="10">
        <f>IFERROR(FemalePayGapsByOccupationalSeriesAndRacialEthnicGroup[[#This Row],[Hispanic Latino Female Employees]]/U$318,"")</f>
        <v>1.4202761078281825E-2</v>
      </c>
      <c r="U106" s="8">
        <v>1108</v>
      </c>
      <c r="V106" s="6">
        <v>51647.544715447002</v>
      </c>
      <c r="W106" s="52">
        <f>IFERROR(FemalePayGapsByOccupationalSeriesAndRacialEthnicGroup[[#This Row],[Hispanic Latino Female Avg Salary]]/FemalePayGapsByOccupationalSeriesAndRacialEthnicGroup[[#This Row],[White Male Average Salary]],"")</f>
        <v>0.95724423944419346</v>
      </c>
      <c r="X106" s="10">
        <f>IFERROR(FemalePayGapsByOccupationalSeriesAndRacialEthnicGroup[[#This Row],[Other Female Employees]]/Y$318,"")</f>
        <v>4.2394437849754109E-3</v>
      </c>
      <c r="Y106" s="8">
        <v>75</v>
      </c>
      <c r="Z106" s="6">
        <v>50932.266666666997</v>
      </c>
      <c r="AA106" s="1">
        <f>IFERROR(FemalePayGapsByOccupationalSeriesAndRacialEthnicGroup[[#This Row],[Other Female Avg Salary]]/FemalePayGapsByOccupationalSeriesAndRacialEthnicGroup[[#This Row],[White Male Average Salary]],"")</f>
        <v>0.94398715635209518</v>
      </c>
    </row>
    <row r="107" spans="1:27" ht="15.6" x14ac:dyDescent="0.3">
      <c r="A107" s="46" t="s">
        <v>117</v>
      </c>
      <c r="B107" s="40">
        <v>3148</v>
      </c>
      <c r="C107" s="41">
        <v>117300.7718014</v>
      </c>
      <c r="D107" s="70">
        <f>IFERROR(FemalePayGapsByOccupationalSeriesAndRacialEthnicGroup[[#This Row],[White Female Employees]]/E$318,"")</f>
        <v>1.0589312549014454E-2</v>
      </c>
      <c r="E107" s="16">
        <v>4834</v>
      </c>
      <c r="F107" s="17">
        <v>120050.100082884</v>
      </c>
      <c r="G107" s="18">
        <f>IFERROR(FemalePayGapsByOccupationalSeriesAndRacialEthnicGroup[[#This Row],[White Female Avg Salary]]/FemalePayGapsByOccupationalSeriesAndRacialEthnicGroup[[#This Row],[White Male Average Salary]],"")</f>
        <v>1.0234382795548767</v>
      </c>
      <c r="H107" s="10">
        <f>IFERROR(FemalePayGapsByOccupationalSeriesAndRacialEthnicGroup[[#This Row],[AIAN Female Employees]]/I$318,"")</f>
        <v>8.0851063829787233E-3</v>
      </c>
      <c r="I107">
        <v>133</v>
      </c>
      <c r="J107" s="6">
        <v>96238.180451128006</v>
      </c>
      <c r="K107" s="52">
        <f>IFERROR(FemalePayGapsByOccupationalSeriesAndRacialEthnicGroup[[#This Row],[AIAN Female Avg Salary]]/FemalePayGapsByOccupationalSeriesAndRacialEthnicGroup[[#This Row],[White Male Average Salary]],"")</f>
        <v>0.82043944786712297</v>
      </c>
      <c r="L107" s="10">
        <f>IFERROR(FemalePayGapsByOccupationalSeriesAndRacialEthnicGroup[[#This Row],[ANHPI Female Employees]]/M$318,"")</f>
        <v>1.8283843815758708E-2</v>
      </c>
      <c r="M107" s="8">
        <v>1173</v>
      </c>
      <c r="N107" s="6">
        <v>131008.344150299</v>
      </c>
      <c r="O107" s="52">
        <f>IFERROR(FemalePayGapsByOccupationalSeriesAndRacialEthnicGroup[[#This Row],[ANHPI Female Avg Salary]]/FemalePayGapsByOccupationalSeriesAndRacialEthnicGroup[[#This Row],[White Male Average Salary]],"")</f>
        <v>1.1168583304132651</v>
      </c>
      <c r="P107" s="10">
        <f>IFERROR(FemalePayGapsByOccupationalSeriesAndRacialEthnicGroup[[#This Row],[Black Female Employees]]/Q$318,"")</f>
        <v>5.9834137300097427E-3</v>
      </c>
      <c r="Q107" s="8">
        <v>1259</v>
      </c>
      <c r="R107" s="6">
        <v>112744.538645418</v>
      </c>
      <c r="S107" s="52">
        <f>IFERROR(FemalePayGapsByOccupationalSeriesAndRacialEthnicGroup[[#This Row],[Black Female Avg Salary]]/FemalePayGapsByOccupationalSeriesAndRacialEthnicGroup[[#This Row],[White Male Average Salary]],"")</f>
        <v>0.96115768817194069</v>
      </c>
      <c r="T107" s="10">
        <f>IFERROR(FemalePayGapsByOccupationalSeriesAndRacialEthnicGroup[[#This Row],[Hispanic Latino Female Employees]]/U$318,"")</f>
        <v>4.7940727827413378E-3</v>
      </c>
      <c r="U107" s="8">
        <v>374</v>
      </c>
      <c r="V107" s="6">
        <v>108866.450402145</v>
      </c>
      <c r="W107" s="52">
        <f>IFERROR(FemalePayGapsByOccupationalSeriesAndRacialEthnicGroup[[#This Row],[Hispanic Latino Female Avg Salary]]/FemalePayGapsByOccupationalSeriesAndRacialEthnicGroup[[#This Row],[White Male Average Salary]],"")</f>
        <v>0.92809662485823186</v>
      </c>
      <c r="X107" s="10">
        <f>IFERROR(FemalePayGapsByOccupationalSeriesAndRacialEthnicGroup[[#This Row],[Other Female Employees]]/Y$318,"")</f>
        <v>5.0308066248374878E-3</v>
      </c>
      <c r="Y107" s="8">
        <v>89</v>
      </c>
      <c r="Z107" s="6">
        <v>108427.17977528099</v>
      </c>
      <c r="AA107" s="1">
        <f>IFERROR(FemalePayGapsByOccupationalSeriesAndRacialEthnicGroup[[#This Row],[Other Female Avg Salary]]/FemalePayGapsByOccupationalSeriesAndRacialEthnicGroup[[#This Row],[White Male Average Salary]],"")</f>
        <v>0.92435180186927723</v>
      </c>
    </row>
    <row r="108" spans="1:27" ht="15.6" x14ac:dyDescent="0.3">
      <c r="A108" s="45" t="s">
        <v>118</v>
      </c>
      <c r="B108" s="38">
        <v>8901</v>
      </c>
      <c r="C108" s="39">
        <v>282131.08045847801</v>
      </c>
      <c r="D108" s="69">
        <f>IFERROR(FemalePayGapsByOccupationalSeriesAndRacialEthnicGroup[[#This Row],[White Female Employees]]/E$318,"")</f>
        <v>1.1813852415563705E-2</v>
      </c>
      <c r="E108" s="67">
        <v>5393</v>
      </c>
      <c r="F108" s="64">
        <v>261110.64861857999</v>
      </c>
      <c r="G108" s="72">
        <f>IFERROR(FemalePayGapsByOccupationalSeriesAndRacialEthnicGroup[[#This Row],[White Female Avg Salary]]/FemalePayGapsByOccupationalSeriesAndRacialEthnicGroup[[#This Row],[White Male Average Salary]],"")</f>
        <v>0.92549409371793179</v>
      </c>
      <c r="H108" s="10">
        <f>IFERROR(FemalePayGapsByOccupationalSeriesAndRacialEthnicGroup[[#This Row],[AIAN Female Employees]]/I$318,"")</f>
        <v>1.0334346504559271E-2</v>
      </c>
      <c r="I108">
        <v>170</v>
      </c>
      <c r="J108" s="6">
        <v>257238.17647058799</v>
      </c>
      <c r="K108" s="52">
        <f>IFERROR(FemalePayGapsByOccupationalSeriesAndRacialEthnicGroup[[#This Row],[AIAN Female Avg Salary]]/FemalePayGapsByOccupationalSeriesAndRacialEthnicGroup[[#This Row],[White Male Average Salary]],"")</f>
        <v>0.91176830306169132</v>
      </c>
      <c r="L108" s="10">
        <f>IFERROR(FemalePayGapsByOccupationalSeriesAndRacialEthnicGroup[[#This Row],[ANHPI Female Employees]]/M$318,"")</f>
        <v>4.7416413373860183E-2</v>
      </c>
      <c r="M108" s="8">
        <v>3042</v>
      </c>
      <c r="N108" s="6">
        <v>258014.11312068399</v>
      </c>
      <c r="O108" s="52">
        <f>IFERROR(FemalePayGapsByOccupationalSeriesAndRacialEthnicGroup[[#This Row],[ANHPI Female Avg Salary]]/FemalePayGapsByOccupationalSeriesAndRacialEthnicGroup[[#This Row],[White Male Average Salary]],"")</f>
        <v>0.9145185730738965</v>
      </c>
      <c r="P108" s="10">
        <f>IFERROR(FemalePayGapsByOccupationalSeriesAndRacialEthnicGroup[[#This Row],[Black Female Employees]]/Q$318,"")</f>
        <v>4.2344889860513749E-3</v>
      </c>
      <c r="Q108" s="8">
        <v>891</v>
      </c>
      <c r="R108" s="6">
        <v>248557.225589226</v>
      </c>
      <c r="S108" s="52">
        <f>IFERROR(FemalePayGapsByOccupationalSeriesAndRacialEthnicGroup[[#This Row],[Black Female Avg Salary]]/FemalePayGapsByOccupationalSeriesAndRacialEthnicGroup[[#This Row],[White Male Average Salary]],"")</f>
        <v>0.88099909157582812</v>
      </c>
      <c r="T108" s="10">
        <f>IFERROR(FemalePayGapsByOccupationalSeriesAndRacialEthnicGroup[[#This Row],[Hispanic Latino Female Employees]]/U$318,"")</f>
        <v>7.8063912424852265E-3</v>
      </c>
      <c r="U108" s="8">
        <v>609</v>
      </c>
      <c r="V108" s="6">
        <v>256101.40394088699</v>
      </c>
      <c r="W108" s="52">
        <f>IFERROR(FemalePayGapsByOccupationalSeriesAndRacialEthnicGroup[[#This Row],[Hispanic Latino Female Avg Salary]]/FemalePayGapsByOccupationalSeriesAndRacialEthnicGroup[[#This Row],[White Male Average Salary]],"")</f>
        <v>0.9077390676869368</v>
      </c>
      <c r="X108" s="10">
        <f>IFERROR(FemalePayGapsByOccupationalSeriesAndRacialEthnicGroup[[#This Row],[Other Female Employees]]/Y$318,"")</f>
        <v>6.8961618902266689E-3</v>
      </c>
      <c r="Y108" s="8">
        <v>122</v>
      </c>
      <c r="Z108" s="6">
        <v>258345.606557377</v>
      </c>
      <c r="AA108" s="1">
        <f>IFERROR(FemalePayGapsByOccupationalSeriesAndRacialEthnicGroup[[#This Row],[Other Female Avg Salary]]/FemalePayGapsByOccupationalSeriesAndRacialEthnicGroup[[#This Row],[White Male Average Salary]],"")</f>
        <v>0.91569353556351063</v>
      </c>
    </row>
    <row r="109" spans="1:27" ht="15.6" x14ac:dyDescent="0.3">
      <c r="A109" s="46" t="s">
        <v>119</v>
      </c>
      <c r="B109" s="40">
        <v>1074</v>
      </c>
      <c r="C109" s="41">
        <v>116116.50522648099</v>
      </c>
      <c r="D109" s="70">
        <f>IFERROR(FemalePayGapsByOccupationalSeriesAndRacialEthnicGroup[[#This Row],[White Female Employees]]/E$318,"")</f>
        <v>3.1215908941550673E-3</v>
      </c>
      <c r="E109" s="16">
        <v>1425</v>
      </c>
      <c r="F109" s="17">
        <v>115305.48534201999</v>
      </c>
      <c r="G109" s="18">
        <f>IFERROR(FemalePayGapsByOccupationalSeriesAndRacialEthnicGroup[[#This Row],[White Female Avg Salary]]/FemalePayGapsByOccupationalSeriesAndRacialEthnicGroup[[#This Row],[White Male Average Salary]],"")</f>
        <v>0.99301546422811182</v>
      </c>
      <c r="H109" s="10" t="str">
        <f>IFERROR(FemalePayGapsByOccupationalSeriesAndRacialEthnicGroup[[#This Row],[AIAN Female Employees]]/I$318,"")</f>
        <v/>
      </c>
      <c r="I109" t="s">
        <v>0</v>
      </c>
      <c r="J109" s="6" t="s">
        <v>0</v>
      </c>
      <c r="K109" s="52" t="str">
        <f>IFERROR(FemalePayGapsByOccupationalSeriesAndRacialEthnicGroup[[#This Row],[AIAN Female Avg Salary]]/FemalePayGapsByOccupationalSeriesAndRacialEthnicGroup[[#This Row],[White Male Average Salary]],"")</f>
        <v/>
      </c>
      <c r="L109" s="10">
        <f>IFERROR(FemalePayGapsByOccupationalSeriesAndRacialEthnicGroup[[#This Row],[ANHPI Female Employees]]/M$318,"")</f>
        <v>2.525134440028057E-3</v>
      </c>
      <c r="M109" s="8">
        <v>162</v>
      </c>
      <c r="N109" s="6">
        <v>114434.52380952401</v>
      </c>
      <c r="O109" s="52">
        <f>IFERROR(FemalePayGapsByOccupationalSeriesAndRacialEthnicGroup[[#This Row],[ANHPI Female Avg Salary]]/FemalePayGapsByOccupationalSeriesAndRacialEthnicGroup[[#This Row],[White Male Average Salary]],"")</f>
        <v>0.98551470857931567</v>
      </c>
      <c r="P109" s="10">
        <f>IFERROR(FemalePayGapsByOccupationalSeriesAndRacialEthnicGroup[[#This Row],[Black Female Employees]]/Q$318,"")</f>
        <v>8.7921488487037523E-4</v>
      </c>
      <c r="Q109" s="8">
        <v>185</v>
      </c>
      <c r="R109" s="6">
        <v>115488.68627450999</v>
      </c>
      <c r="S109" s="52">
        <f>IFERROR(FemalePayGapsByOccupationalSeriesAndRacialEthnicGroup[[#This Row],[Black Female Avg Salary]]/FemalePayGapsByOccupationalSeriesAndRacialEthnicGroup[[#This Row],[White Male Average Salary]],"")</f>
        <v>0.99459319800620538</v>
      </c>
      <c r="T109" s="10">
        <f>IFERROR(FemalePayGapsByOccupationalSeriesAndRacialEthnicGroup[[#This Row],[Hispanic Latino Female Employees]]/U$318,"")</f>
        <v>8.0755771473985105E-4</v>
      </c>
      <c r="U109" s="8">
        <v>63</v>
      </c>
      <c r="V109" s="6">
        <v>118968</v>
      </c>
      <c r="W109" s="52">
        <f>IFERROR(FemalePayGapsByOccupationalSeriesAndRacialEthnicGroup[[#This Row],[Hispanic Latino Female Avg Salary]]/FemalePayGapsByOccupationalSeriesAndRacialEthnicGroup[[#This Row],[White Male Average Salary]],"")</f>
        <v>1.0245571873521104</v>
      </c>
      <c r="X109" s="10" t="str">
        <f>IFERROR(FemalePayGapsByOccupationalSeriesAndRacialEthnicGroup[[#This Row],[Other Female Employees]]/Y$318,"")</f>
        <v/>
      </c>
      <c r="Y109" s="8" t="s">
        <v>0</v>
      </c>
      <c r="Z109" s="6" t="s">
        <v>0</v>
      </c>
      <c r="AA10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10" spans="1:27" ht="15.6" x14ac:dyDescent="0.3">
      <c r="A110" s="45" t="s">
        <v>120</v>
      </c>
      <c r="B110" s="38">
        <v>10530</v>
      </c>
      <c r="C110" s="39">
        <v>103448.70066476701</v>
      </c>
      <c r="D110" s="69">
        <f>IFERROR(FemalePayGapsByOccupationalSeriesAndRacialEthnicGroup[[#This Row],[White Female Employees]]/E$318,"")</f>
        <v>9.2931403861572226E-2</v>
      </c>
      <c r="E110" s="67">
        <v>42423</v>
      </c>
      <c r="F110" s="64">
        <v>105628.30312603099</v>
      </c>
      <c r="G110" s="72">
        <f>IFERROR(FemalePayGapsByOccupationalSeriesAndRacialEthnicGroup[[#This Row],[White Female Avg Salary]]/FemalePayGapsByOccupationalSeriesAndRacialEthnicGroup[[#This Row],[White Male Average Salary]],"")</f>
        <v>1.0210694039389354</v>
      </c>
      <c r="H110" s="10">
        <f>IFERROR(FemalePayGapsByOccupationalSeriesAndRacialEthnicGroup[[#This Row],[AIAN Female Employees]]/I$318,"")</f>
        <v>9.7568389057750754E-2</v>
      </c>
      <c r="I110">
        <v>1605</v>
      </c>
      <c r="J110" s="6">
        <v>105134.80249221199</v>
      </c>
      <c r="K110" s="52">
        <f>IFERROR(FemalePayGapsByOccupationalSeriesAndRacialEthnicGroup[[#This Row],[AIAN Female Avg Salary]]/FemalePayGapsByOccupationalSeriesAndRacialEthnicGroup[[#This Row],[White Male Average Salary]],"")</f>
        <v>1.0162989174016688</v>
      </c>
      <c r="L110" s="10">
        <f>IFERROR(FemalePayGapsByOccupationalSeriesAndRacialEthnicGroup[[#This Row],[ANHPI Female Employees]]/M$318,"")</f>
        <v>0.1508066401683423</v>
      </c>
      <c r="M110" s="8">
        <v>9675</v>
      </c>
      <c r="N110" s="6">
        <v>117955.168802977</v>
      </c>
      <c r="O110" s="52">
        <f>IFERROR(FemalePayGapsByOccupationalSeriesAndRacialEthnicGroup[[#This Row],[ANHPI Female Avg Salary]]/FemalePayGapsByOccupationalSeriesAndRacialEthnicGroup[[#This Row],[White Male Average Salary]],"")</f>
        <v>1.1402286161642499</v>
      </c>
      <c r="P110" s="10">
        <f>IFERROR(FemalePayGapsByOccupationalSeriesAndRacialEthnicGroup[[#This Row],[Black Female Employees]]/Q$318,"")</f>
        <v>6.7965686856925597E-2</v>
      </c>
      <c r="Q110" s="8">
        <v>14301</v>
      </c>
      <c r="R110" s="6">
        <v>107489.63572777501</v>
      </c>
      <c r="S110" s="52">
        <f>IFERROR(FemalePayGapsByOccupationalSeriesAndRacialEthnicGroup[[#This Row],[Black Female Avg Salary]]/FemalePayGapsByOccupationalSeriesAndRacialEthnicGroup[[#This Row],[White Male Average Salary]],"")</f>
        <v>1.0390622118696584</v>
      </c>
      <c r="T110" s="10">
        <f>IFERROR(FemalePayGapsByOccupationalSeriesAndRacialEthnicGroup[[#This Row],[Hispanic Latino Female Employees]]/U$318,"")</f>
        <v>5.3426992937074591E-2</v>
      </c>
      <c r="U110" s="8">
        <v>4168</v>
      </c>
      <c r="V110" s="6">
        <v>102861.649712092</v>
      </c>
      <c r="W110" s="52">
        <f>IFERROR(FemalePayGapsByOccupationalSeriesAndRacialEthnicGroup[[#This Row],[Hispanic Latino Female Avg Salary]]/FemalePayGapsByOccupationalSeriesAndRacialEthnicGroup[[#This Row],[White Male Average Salary]],"")</f>
        <v>0.99432519742729886</v>
      </c>
      <c r="X110" s="10">
        <f>IFERROR(FemalePayGapsByOccupationalSeriesAndRacialEthnicGroup[[#This Row],[Other Female Employees]]/Y$318,"")</f>
        <v>4.9403651574246789E-2</v>
      </c>
      <c r="Y110" s="8">
        <v>874</v>
      </c>
      <c r="Z110" s="6">
        <v>104910.53775743701</v>
      </c>
      <c r="AA110" s="1">
        <f>IFERROR(FemalePayGapsByOccupationalSeriesAndRacialEthnicGroup[[#This Row],[Other Female Avg Salary]]/FemalePayGapsByOccupationalSeriesAndRacialEthnicGroup[[#This Row],[White Male Average Salary]],"")</f>
        <v>1.014131033867764</v>
      </c>
    </row>
    <row r="111" spans="1:27" ht="15.6" x14ac:dyDescent="0.3">
      <c r="A111" s="46" t="s">
        <v>121</v>
      </c>
      <c r="B111" s="40">
        <v>1487</v>
      </c>
      <c r="C111" s="41">
        <v>61127.929245282998</v>
      </c>
      <c r="D111" s="70">
        <f>IFERROR(FemalePayGapsByOccupationalSeriesAndRacialEthnicGroup[[#This Row],[White Female Employees]]/E$318,"")</f>
        <v>1.7145748721790675E-2</v>
      </c>
      <c r="E111" s="16">
        <v>7827</v>
      </c>
      <c r="F111" s="17">
        <v>58914.863996929002</v>
      </c>
      <c r="G111" s="18">
        <f>IFERROR(FemalePayGapsByOccupationalSeriesAndRacialEthnicGroup[[#This Row],[White Female Avg Salary]]/FemalePayGapsByOccupationalSeriesAndRacialEthnicGroup[[#This Row],[White Male Average Salary]],"")</f>
        <v>0.96379616853249173</v>
      </c>
      <c r="H111" s="10">
        <f>IFERROR(FemalePayGapsByOccupationalSeriesAndRacialEthnicGroup[[#This Row],[AIAN Female Employees]]/I$318,"")</f>
        <v>1.7386018237082065E-2</v>
      </c>
      <c r="I111">
        <v>286</v>
      </c>
      <c r="J111" s="6">
        <v>60566.353146852998</v>
      </c>
      <c r="K111" s="52">
        <f>IFERROR(FemalePayGapsByOccupationalSeriesAndRacialEthnicGroup[[#This Row],[AIAN Female Avg Salary]]/FemalePayGapsByOccupationalSeriesAndRacialEthnicGroup[[#This Row],[White Male Average Salary]],"")</f>
        <v>0.99081310122290234</v>
      </c>
      <c r="L111" s="10">
        <f>IFERROR(FemalePayGapsByOccupationalSeriesAndRacialEthnicGroup[[#This Row],[ANHPI Female Employees]]/M$318,"")</f>
        <v>1.6148390616475723E-2</v>
      </c>
      <c r="M111" s="8">
        <v>1036</v>
      </c>
      <c r="N111" s="6">
        <v>67557.728502415004</v>
      </c>
      <c r="O111" s="52">
        <f>IFERROR(FemalePayGapsByOccupationalSeriesAndRacialEthnicGroup[[#This Row],[ANHPI Female Avg Salary]]/FemalePayGapsByOccupationalSeriesAndRacialEthnicGroup[[#This Row],[White Male Average Salary]],"")</f>
        <v>1.1051859491482474</v>
      </c>
      <c r="P111" s="10">
        <f>IFERROR(FemalePayGapsByOccupationalSeriesAndRacialEthnicGroup[[#This Row],[Black Female Employees]]/Q$318,"")</f>
        <v>2.0982344414609225E-2</v>
      </c>
      <c r="Q111" s="8">
        <v>4415</v>
      </c>
      <c r="R111" s="6">
        <v>60191.808539632002</v>
      </c>
      <c r="S111" s="52">
        <f>IFERROR(FemalePayGapsByOccupationalSeriesAndRacialEthnicGroup[[#This Row],[Black Female Avg Salary]]/FemalePayGapsByOccupationalSeriesAndRacialEthnicGroup[[#This Row],[White Male Average Salary]],"")</f>
        <v>0.98468587571656974</v>
      </c>
      <c r="T111" s="10">
        <f>IFERROR(FemalePayGapsByOccupationalSeriesAndRacialEthnicGroup[[#This Row],[Hispanic Latino Female Employees]]/U$318,"")</f>
        <v>1.3459295245664185E-2</v>
      </c>
      <c r="U111" s="8">
        <v>1050</v>
      </c>
      <c r="V111" s="6">
        <v>58582.062857142999</v>
      </c>
      <c r="W111" s="52">
        <f>IFERROR(FemalePayGapsByOccupationalSeriesAndRacialEthnicGroup[[#This Row],[Hispanic Latino Female Avg Salary]]/FemalePayGapsByOccupationalSeriesAndRacialEthnicGroup[[#This Row],[White Male Average Salary]],"")</f>
        <v>0.95835183001334123</v>
      </c>
      <c r="X111" s="10">
        <f>IFERROR(FemalePayGapsByOccupationalSeriesAndRacialEthnicGroup[[#This Row],[Other Female Employees]]/Y$318,"")</f>
        <v>1.0174665083940987E-2</v>
      </c>
      <c r="Y111" s="8">
        <v>180</v>
      </c>
      <c r="Z111" s="6">
        <v>59211.566666667</v>
      </c>
      <c r="AA111" s="1">
        <f>IFERROR(FemalePayGapsByOccupationalSeriesAndRacialEthnicGroup[[#This Row],[Other Female Avg Salary]]/FemalePayGapsByOccupationalSeriesAndRacialEthnicGroup[[#This Row],[White Male Average Salary]],"")</f>
        <v>0.96864996733446729</v>
      </c>
    </row>
    <row r="112" spans="1:27" ht="15.6" x14ac:dyDescent="0.3">
      <c r="A112" s="45" t="s">
        <v>122</v>
      </c>
      <c r="B112" s="38">
        <v>783</v>
      </c>
      <c r="C112" s="39">
        <v>44450.588235294003</v>
      </c>
      <c r="D112" s="69">
        <f>IFERROR(FemalePayGapsByOccupationalSeriesAndRacialEthnicGroup[[#This Row],[White Female Employees]]/E$318,"")</f>
        <v>6.6681562679354565E-3</v>
      </c>
      <c r="E112" s="67">
        <v>3044</v>
      </c>
      <c r="F112" s="64">
        <v>43320.09437685</v>
      </c>
      <c r="G112" s="72">
        <f>IFERROR(FemalePayGapsByOccupationalSeriesAndRacialEthnicGroup[[#This Row],[White Female Avg Salary]]/FemalePayGapsByOccupationalSeriesAndRacialEthnicGroup[[#This Row],[White Male Average Salary]],"")</f>
        <v>0.97456740386741647</v>
      </c>
      <c r="H112" s="10">
        <f>IFERROR(FemalePayGapsByOccupationalSeriesAndRacialEthnicGroup[[#This Row],[AIAN Female Employees]]/I$318,"")</f>
        <v>3.0638297872340424E-2</v>
      </c>
      <c r="I112">
        <v>504</v>
      </c>
      <c r="J112" s="6">
        <v>42948.468253968</v>
      </c>
      <c r="K112" s="52">
        <f>IFERROR(FemalePayGapsByOccupationalSeriesAndRacialEthnicGroup[[#This Row],[AIAN Female Avg Salary]]/FemalePayGapsByOccupationalSeriesAndRacialEthnicGroup[[#This Row],[White Male Average Salary]],"")</f>
        <v>0.96620697180935589</v>
      </c>
      <c r="L112" s="10">
        <f>IFERROR(FemalePayGapsByOccupationalSeriesAndRacialEthnicGroup[[#This Row],[ANHPI Female Employees]]/M$318,"")</f>
        <v>1.5431377133504794E-2</v>
      </c>
      <c r="M112" s="8">
        <v>990</v>
      </c>
      <c r="N112" s="6">
        <v>47226.932323232002</v>
      </c>
      <c r="O112" s="52">
        <f>IFERROR(FemalePayGapsByOccupationalSeriesAndRacialEthnicGroup[[#This Row],[ANHPI Female Avg Salary]]/FemalePayGapsByOccupationalSeriesAndRacialEthnicGroup[[#This Row],[White Male Average Salary]],"")</f>
        <v>1.0624591079254508</v>
      </c>
      <c r="P112" s="10">
        <f>IFERROR(FemalePayGapsByOccupationalSeriesAndRacialEthnicGroup[[#This Row],[Black Female Employees]]/Q$318,"")</f>
        <v>2.7759427797447899E-2</v>
      </c>
      <c r="Q112" s="8">
        <v>5841</v>
      </c>
      <c r="R112" s="6">
        <v>44140.323958155001</v>
      </c>
      <c r="S112" s="52">
        <f>IFERROR(FemalePayGapsByOccupationalSeriesAndRacialEthnicGroup[[#This Row],[Black Female Avg Salary]]/FemalePayGapsByOccupationalSeriesAndRacialEthnicGroup[[#This Row],[White Male Average Salary]],"")</f>
        <v>0.99302001864414813</v>
      </c>
      <c r="T112" s="10">
        <f>IFERROR(FemalePayGapsByOccupationalSeriesAndRacialEthnicGroup[[#This Row],[Hispanic Latino Female Employees]]/U$318,"")</f>
        <v>8.8574981092894769E-3</v>
      </c>
      <c r="U112" s="8">
        <v>691</v>
      </c>
      <c r="V112" s="6">
        <v>44424.786337209</v>
      </c>
      <c r="W112" s="52">
        <f>IFERROR(FemalePayGapsByOccupationalSeriesAndRacialEthnicGroup[[#This Row],[Hispanic Latino Female Avg Salary]]/FemalePayGapsByOccupationalSeriesAndRacialEthnicGroup[[#This Row],[White Male Average Salary]],"")</f>
        <v>0.99941953753348722</v>
      </c>
      <c r="X112" s="10">
        <f>IFERROR(FemalePayGapsByOccupationalSeriesAndRacialEthnicGroup[[#This Row],[Other Female Employees]]/Y$318,"")</f>
        <v>4.8047029563054663E-3</v>
      </c>
      <c r="Y112" s="8">
        <v>85</v>
      </c>
      <c r="Z112" s="6">
        <v>42969.156626506003</v>
      </c>
      <c r="AA112" s="1">
        <f>IFERROR(FemalePayGapsByOccupationalSeriesAndRacialEthnicGroup[[#This Row],[Other Female Avg Salary]]/FemalePayGapsByOccupationalSeriesAndRacialEthnicGroup[[#This Row],[White Male Average Salary]],"")</f>
        <v>0.96667239585343134</v>
      </c>
    </row>
    <row r="113" spans="1:27" ht="15.6" x14ac:dyDescent="0.3">
      <c r="A113" s="46" t="s">
        <v>123</v>
      </c>
      <c r="B113" s="40">
        <v>549</v>
      </c>
      <c r="C113" s="41">
        <v>54079.983516483997</v>
      </c>
      <c r="D113" s="70">
        <f>IFERROR(FemalePayGapsByOccupationalSeriesAndRacialEthnicGroup[[#This Row],[White Female Employees]]/E$318,"")</f>
        <v>1.4085494350468129E-3</v>
      </c>
      <c r="E113" s="16">
        <v>643</v>
      </c>
      <c r="F113" s="17">
        <v>52982.091757387003</v>
      </c>
      <c r="G113" s="18">
        <f>IFERROR(FemalePayGapsByOccupationalSeriesAndRacialEthnicGroup[[#This Row],[White Female Avg Salary]]/FemalePayGapsByOccupationalSeriesAndRacialEthnicGroup[[#This Row],[White Male Average Salary]],"")</f>
        <v>0.9796987408703195</v>
      </c>
      <c r="H113" s="10" t="str">
        <f>IFERROR(FemalePayGapsByOccupationalSeriesAndRacialEthnicGroup[[#This Row],[AIAN Female Employees]]/I$318,"")</f>
        <v/>
      </c>
      <c r="I113" t="s">
        <v>0</v>
      </c>
      <c r="J113" s="6" t="s">
        <v>0</v>
      </c>
      <c r="K113" s="52" t="str">
        <f>IFERROR(FemalePayGapsByOccupationalSeriesAndRacialEthnicGroup[[#This Row],[AIAN Female Avg Salary]]/FemalePayGapsByOccupationalSeriesAndRacialEthnicGroup[[#This Row],[White Male Average Salary]],"")</f>
        <v/>
      </c>
      <c r="L113" s="10">
        <f>IFERROR(FemalePayGapsByOccupationalSeriesAndRacialEthnicGroup[[#This Row],[ANHPI Female Employees]]/M$318,"")</f>
        <v>1.5898994622398877E-3</v>
      </c>
      <c r="M113" s="8">
        <v>102</v>
      </c>
      <c r="N113" s="6">
        <v>58544.107843136997</v>
      </c>
      <c r="O113" s="52">
        <f>IFERROR(FemalePayGapsByOccupationalSeriesAndRacialEthnicGroup[[#This Row],[ANHPI Female Avg Salary]]/FemalePayGapsByOccupationalSeriesAndRacialEthnicGroup[[#This Row],[White Male Average Salary]],"")</f>
        <v>1.0825467027979456</v>
      </c>
      <c r="P113" s="10">
        <f>IFERROR(FemalePayGapsByOccupationalSeriesAndRacialEthnicGroup[[#This Row],[Black Female Employees]]/Q$318,"")</f>
        <v>3.1224009695126299E-3</v>
      </c>
      <c r="Q113" s="8">
        <v>657</v>
      </c>
      <c r="R113" s="6">
        <v>53857.917682927</v>
      </c>
      <c r="S113" s="52">
        <f>IFERROR(FemalePayGapsByOccupationalSeriesAndRacialEthnicGroup[[#This Row],[Black Female Avg Salary]]/FemalePayGapsByOccupationalSeriesAndRacialEthnicGroup[[#This Row],[White Male Average Salary]],"")</f>
        <v>0.99589375182613893</v>
      </c>
      <c r="T113" s="10">
        <f>IFERROR(FemalePayGapsByOccupationalSeriesAndRacialEthnicGroup[[#This Row],[Hispanic Latino Female Employees]]/U$318,"")</f>
        <v>2.1278504864573854E-3</v>
      </c>
      <c r="U113" s="8">
        <v>166</v>
      </c>
      <c r="V113" s="6">
        <v>53321.216867470001</v>
      </c>
      <c r="W113" s="52">
        <f>IFERROR(FemalePayGapsByOccupationalSeriesAndRacialEthnicGroup[[#This Row],[Hispanic Latino Female Avg Salary]]/FemalePayGapsByOccupationalSeriesAndRacialEthnicGroup[[#This Row],[White Male Average Salary]],"")</f>
        <v>0.9859695473320047</v>
      </c>
      <c r="X113" s="10" t="str">
        <f>IFERROR(FemalePayGapsByOccupationalSeriesAndRacialEthnicGroup[[#This Row],[Other Female Employees]]/Y$318,"")</f>
        <v/>
      </c>
      <c r="Y113" s="8" t="s">
        <v>0</v>
      </c>
      <c r="Z113" s="6" t="s">
        <v>0</v>
      </c>
      <c r="AA11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14" spans="1:27" ht="15.6" x14ac:dyDescent="0.3">
      <c r="A114" s="45" t="s">
        <v>124</v>
      </c>
      <c r="B114" s="38">
        <v>237</v>
      </c>
      <c r="C114" s="39">
        <v>88491.864978903002</v>
      </c>
      <c r="D114" s="69">
        <f>IFERROR(FemalePayGapsByOccupationalSeriesAndRacialEthnicGroup[[#This Row],[White Female Employees]]/E$318,"")</f>
        <v>4.3176530893892194E-3</v>
      </c>
      <c r="E114" s="67">
        <v>1971</v>
      </c>
      <c r="F114" s="64">
        <v>87508.699644849999</v>
      </c>
      <c r="G114" s="72">
        <f>IFERROR(FemalePayGapsByOccupationalSeriesAndRacialEthnicGroup[[#This Row],[White Female Avg Salary]]/FemalePayGapsByOccupationalSeriesAndRacialEthnicGroup[[#This Row],[White Male Average Salary]],"")</f>
        <v>0.98888976592043354</v>
      </c>
      <c r="H114" s="10" t="str">
        <f>IFERROR(FemalePayGapsByOccupationalSeriesAndRacialEthnicGroup[[#This Row],[AIAN Female Employees]]/I$318,"")</f>
        <v/>
      </c>
      <c r="I114" t="s">
        <v>0</v>
      </c>
      <c r="J114" s="6" t="s">
        <v>0</v>
      </c>
      <c r="K114" s="52" t="str">
        <f>IFERROR(FemalePayGapsByOccupationalSeriesAndRacialEthnicGroup[[#This Row],[AIAN Female Avg Salary]]/FemalePayGapsByOccupationalSeriesAndRacialEthnicGroup[[#This Row],[White Male Average Salary]],"")</f>
        <v/>
      </c>
      <c r="L114" s="10">
        <f>IFERROR(FemalePayGapsByOccupationalSeriesAndRacialEthnicGroup[[#This Row],[ANHPI Female Employees]]/M$318,"")</f>
        <v>1.9795807029849583E-3</v>
      </c>
      <c r="M114" s="8">
        <v>127</v>
      </c>
      <c r="N114" s="6">
        <v>97693.110236220004</v>
      </c>
      <c r="O114" s="52">
        <f>IFERROR(FemalePayGapsByOccupationalSeriesAndRacialEthnicGroup[[#This Row],[ANHPI Female Avg Salary]]/FemalePayGapsByOccupationalSeriesAndRacialEthnicGroup[[#This Row],[White Male Average Salary]],"")</f>
        <v>1.1039784307801699</v>
      </c>
      <c r="P114" s="10">
        <f>IFERROR(FemalePayGapsByOccupationalSeriesAndRacialEthnicGroup[[#This Row],[Black Female Employees]]/Q$318,"")</f>
        <v>7.8891713993774204E-4</v>
      </c>
      <c r="Q114" s="8">
        <v>166</v>
      </c>
      <c r="R114" s="6">
        <v>92590.391566264996</v>
      </c>
      <c r="S114" s="52">
        <f>IFERROR(FemalePayGapsByOccupationalSeriesAndRacialEthnicGroup[[#This Row],[Black Female Avg Salary]]/FemalePayGapsByOccupationalSeriesAndRacialEthnicGroup[[#This Row],[White Male Average Salary]],"")</f>
        <v>1.0463152922400167</v>
      </c>
      <c r="T114" s="10">
        <f>IFERROR(FemalePayGapsByOccupationalSeriesAndRacialEthnicGroup[[#This Row],[Hispanic Latino Female Employees]]/U$318,"")</f>
        <v>1.4228397831130709E-3</v>
      </c>
      <c r="U114" s="8">
        <v>111</v>
      </c>
      <c r="V114" s="6">
        <v>84134.729729729996</v>
      </c>
      <c r="W114" s="52">
        <f>IFERROR(FemalePayGapsByOccupationalSeriesAndRacialEthnicGroup[[#This Row],[Hispanic Latino Female Avg Salary]]/FemalePayGapsByOccupationalSeriesAndRacialEthnicGroup[[#This Row],[White Male Average Salary]],"")</f>
        <v>0.95076230735772405</v>
      </c>
      <c r="X114" s="10" t="str">
        <f>IFERROR(FemalePayGapsByOccupationalSeriesAndRacialEthnicGroup[[#This Row],[Other Female Employees]]/Y$318,"")</f>
        <v/>
      </c>
      <c r="Y114" s="8" t="s">
        <v>0</v>
      </c>
      <c r="Z114" s="6" t="s">
        <v>0</v>
      </c>
      <c r="AA11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15" spans="1:27" ht="15.6" x14ac:dyDescent="0.3">
      <c r="A115" s="46" t="s">
        <v>125</v>
      </c>
      <c r="B115" s="40">
        <v>320</v>
      </c>
      <c r="C115" s="41">
        <v>99789.268750000003</v>
      </c>
      <c r="D115" s="70">
        <f>IFERROR(FemalePayGapsByOccupationalSeriesAndRacialEthnicGroup[[#This Row],[White Female Employees]]/E$318,"")</f>
        <v>2.1949712813637738E-3</v>
      </c>
      <c r="E115" s="16">
        <v>1002</v>
      </c>
      <c r="F115" s="17">
        <v>99339.424151697007</v>
      </c>
      <c r="G115" s="18">
        <f>IFERROR(FemalePayGapsByOccupationalSeriesAndRacialEthnicGroup[[#This Row],[White Female Avg Salary]]/FemalePayGapsByOccupationalSeriesAndRacialEthnicGroup[[#This Row],[White Male Average Salary]],"")</f>
        <v>0.99549205436678789</v>
      </c>
      <c r="H115" s="10" t="str">
        <f>IFERROR(FemalePayGapsByOccupationalSeriesAndRacialEthnicGroup[[#This Row],[AIAN Female Employees]]/I$318,"")</f>
        <v/>
      </c>
      <c r="I115" t="s">
        <v>0</v>
      </c>
      <c r="J115" s="6" t="s">
        <v>0</v>
      </c>
      <c r="K115" s="52" t="str">
        <f>IFERROR(FemalePayGapsByOccupationalSeriesAndRacialEthnicGroup[[#This Row],[AIAN Female Avg Salary]]/FemalePayGapsByOccupationalSeriesAndRacialEthnicGroup[[#This Row],[White Male Average Salary]],"")</f>
        <v/>
      </c>
      <c r="L115" s="10">
        <f>IFERROR(FemalePayGapsByOccupationalSeriesAndRacialEthnicGroup[[#This Row],[ANHPI Female Employees]]/M$318,"")</f>
        <v>1.8548827059465358E-3</v>
      </c>
      <c r="M115" s="8">
        <v>119</v>
      </c>
      <c r="N115" s="6">
        <v>103347.957983193</v>
      </c>
      <c r="O115" s="52">
        <f>IFERROR(FemalePayGapsByOccupationalSeriesAndRacialEthnicGroup[[#This Row],[ANHPI Female Avg Salary]]/FemalePayGapsByOccupationalSeriesAndRacialEthnicGroup[[#This Row],[White Male Average Salary]],"")</f>
        <v>1.035662043401766</v>
      </c>
      <c r="P115" s="10">
        <f>IFERROR(FemalePayGapsByOccupationalSeriesAndRacialEthnicGroup[[#This Row],[Black Female Employees]]/Q$318,"")</f>
        <v>6.3683672741962313E-4</v>
      </c>
      <c r="Q115" s="8">
        <v>134</v>
      </c>
      <c r="R115" s="6">
        <v>99772.932835821004</v>
      </c>
      <c r="S115" s="52">
        <f>IFERROR(FemalePayGapsByOccupationalSeriesAndRacialEthnicGroup[[#This Row],[Black Female Avg Salary]]/FemalePayGapsByOccupationalSeriesAndRacialEthnicGroup[[#This Row],[White Male Average Salary]],"")</f>
        <v>0.9998362958824768</v>
      </c>
      <c r="T115" s="10">
        <f>IFERROR(FemalePayGapsByOccupationalSeriesAndRacialEthnicGroup[[#This Row],[Hispanic Latino Female Employees]]/U$318,"")</f>
        <v>9.9983336110648227E-4</v>
      </c>
      <c r="U115" s="8">
        <v>78</v>
      </c>
      <c r="V115" s="6">
        <v>98002.833333332994</v>
      </c>
      <c r="W115" s="52">
        <f>IFERROR(FemalePayGapsByOccupationalSeriesAndRacialEthnicGroup[[#This Row],[Hispanic Latino Female Avg Salary]]/FemalePayGapsByOccupationalSeriesAndRacialEthnicGroup[[#This Row],[White Male Average Salary]],"")</f>
        <v>0.98209792055754486</v>
      </c>
      <c r="X115" s="10" t="str">
        <f>IFERROR(FemalePayGapsByOccupationalSeriesAndRacialEthnicGroup[[#This Row],[Other Female Employees]]/Y$318,"")</f>
        <v/>
      </c>
      <c r="Y115" s="8" t="s">
        <v>0</v>
      </c>
      <c r="Z115" s="6" t="s">
        <v>0</v>
      </c>
      <c r="AA11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16" spans="1:27" ht="15.6" x14ac:dyDescent="0.3">
      <c r="A116" s="45" t="s">
        <v>126</v>
      </c>
      <c r="B116" s="38">
        <v>1032</v>
      </c>
      <c r="C116" s="39">
        <v>104955.32880698401</v>
      </c>
      <c r="D116" s="69">
        <f>IFERROR(FemalePayGapsByOccupationalSeriesAndRacialEthnicGroup[[#This Row],[White Female Employees]]/E$318,"")</f>
        <v>2.7842400185762043E-3</v>
      </c>
      <c r="E116" s="67">
        <v>1271</v>
      </c>
      <c r="F116" s="64">
        <v>104685.541009464</v>
      </c>
      <c r="G116" s="72">
        <f>IFERROR(FemalePayGapsByOccupationalSeriesAndRacialEthnicGroup[[#This Row],[White Female Avg Salary]]/FemalePayGapsByOccupationalSeriesAndRacialEthnicGroup[[#This Row],[White Male Average Salary]],"")</f>
        <v>0.9974294988107163</v>
      </c>
      <c r="H116" s="10" t="str">
        <f>IFERROR(FemalePayGapsByOccupationalSeriesAndRacialEthnicGroup[[#This Row],[AIAN Female Employees]]/I$318,"")</f>
        <v/>
      </c>
      <c r="I116" t="s">
        <v>0</v>
      </c>
      <c r="J116" s="6" t="s">
        <v>0</v>
      </c>
      <c r="K116" s="52" t="str">
        <f>IFERROR(FemalePayGapsByOccupationalSeriesAndRacialEthnicGroup[[#This Row],[AIAN Female Avg Salary]]/FemalePayGapsByOccupationalSeriesAndRacialEthnicGroup[[#This Row],[White Male Average Salary]],"")</f>
        <v/>
      </c>
      <c r="L116" s="10">
        <f>IFERROR(FemalePayGapsByOccupationalSeriesAndRacialEthnicGroup[[#This Row],[ANHPI Female Employees]]/M$318,"")</f>
        <v>2.7121814355856909E-3</v>
      </c>
      <c r="M116" s="8">
        <v>174</v>
      </c>
      <c r="N116" s="6">
        <v>111322.396551724</v>
      </c>
      <c r="O116" s="52">
        <f>IFERROR(FemalePayGapsByOccupationalSeriesAndRacialEthnicGroup[[#This Row],[ANHPI Female Avg Salary]]/FemalePayGapsByOccupationalSeriesAndRacialEthnicGroup[[#This Row],[White Male Average Salary]],"")</f>
        <v>1.0606645495480198</v>
      </c>
      <c r="P116" s="10">
        <f>IFERROR(FemalePayGapsByOccupationalSeriesAndRacialEthnicGroup[[#This Row],[Black Female Employees]]/Q$318,"")</f>
        <v>5.0851887935746023E-4</v>
      </c>
      <c r="Q116" s="8">
        <v>107</v>
      </c>
      <c r="R116" s="6">
        <v>109069.72897196301</v>
      </c>
      <c r="S116" s="52">
        <f>IFERROR(FemalePayGapsByOccupationalSeriesAndRacialEthnicGroup[[#This Row],[Black Female Avg Salary]]/FemalePayGapsByOccupationalSeriesAndRacialEthnicGroup[[#This Row],[White Male Average Salary]],"")</f>
        <v>1.0392014413345845</v>
      </c>
      <c r="T116" s="10">
        <f>IFERROR(FemalePayGapsByOccupationalSeriesAndRacialEthnicGroup[[#This Row],[Hispanic Latino Female Employees]]/U$318,"")</f>
        <v>1.2177457603219975E-3</v>
      </c>
      <c r="U116" s="8">
        <v>95</v>
      </c>
      <c r="V116" s="6">
        <v>103619.547368421</v>
      </c>
      <c r="W116" s="52">
        <f>IFERROR(FemalePayGapsByOccupationalSeriesAndRacialEthnicGroup[[#This Row],[Hispanic Latino Female Avg Salary]]/FemalePayGapsByOccupationalSeriesAndRacialEthnicGroup[[#This Row],[White Male Average Salary]],"")</f>
        <v>0.98727285737897552</v>
      </c>
      <c r="X116" s="10" t="str">
        <f>IFERROR(FemalePayGapsByOccupationalSeriesAndRacialEthnicGroup[[#This Row],[Other Female Employees]]/Y$318,"")</f>
        <v/>
      </c>
      <c r="Y116" s="8" t="s">
        <v>0</v>
      </c>
      <c r="Z116" s="6" t="s">
        <v>0</v>
      </c>
      <c r="AA11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17" spans="1:27" ht="15.6" x14ac:dyDescent="0.3">
      <c r="A117" s="46" t="s">
        <v>127</v>
      </c>
      <c r="B117" s="40">
        <v>78</v>
      </c>
      <c r="C117" s="41">
        <v>88505.217948717996</v>
      </c>
      <c r="D117" s="70">
        <f>IFERROR(FemalePayGapsByOccupationalSeriesAndRacialEthnicGroup[[#This Row],[White Female Employees]]/E$318,"")</f>
        <v>1.467695367778172E-4</v>
      </c>
      <c r="E117" s="16">
        <v>67</v>
      </c>
      <c r="F117" s="17">
        <v>88182.373134327994</v>
      </c>
      <c r="G117" s="18">
        <f>IFERROR(FemalePayGapsByOccupationalSeriesAndRacialEthnicGroup[[#This Row],[White Female Avg Salary]]/FemalePayGapsByOccupationalSeriesAndRacialEthnicGroup[[#This Row],[White Male Average Salary]],"")</f>
        <v>0.99635225106640535</v>
      </c>
      <c r="H117" s="10" t="str">
        <f>IFERROR(FemalePayGapsByOccupationalSeriesAndRacialEthnicGroup[[#This Row],[AIAN Female Employees]]/I$318,"")</f>
        <v/>
      </c>
      <c r="I117" t="s">
        <v>0</v>
      </c>
      <c r="J117" s="6" t="s">
        <v>0</v>
      </c>
      <c r="K117" s="52" t="str">
        <f>IFERROR(FemalePayGapsByOccupationalSeriesAndRacialEthnicGroup[[#This Row],[AIAN Female Avg Salary]]/FemalePayGapsByOccupationalSeriesAndRacialEthnicGroup[[#This Row],[White Male Average Salary]],"")</f>
        <v/>
      </c>
      <c r="L117" s="10" t="str">
        <f>IFERROR(FemalePayGapsByOccupationalSeriesAndRacialEthnicGroup[[#This Row],[ANHPI Female Employees]]/M$318,"")</f>
        <v/>
      </c>
      <c r="M117" s="8" t="s">
        <v>0</v>
      </c>
      <c r="N117" s="6" t="s">
        <v>0</v>
      </c>
      <c r="O117" s="52" t="str">
        <f>IFERROR(FemalePayGapsByOccupationalSeriesAndRacialEthnicGroup[[#This Row],[ANHPI Female Avg Salary]]/FemalePayGapsByOccupationalSeriesAndRacialEthnicGroup[[#This Row],[White Male Average Salary]],"")</f>
        <v/>
      </c>
      <c r="P117" s="10">
        <f>IFERROR(FemalePayGapsByOccupationalSeriesAndRacialEthnicGroup[[#This Row],[Black Female Employees]]/Q$318,"")</f>
        <v>2.5663569612432573E-4</v>
      </c>
      <c r="Q117" s="8">
        <v>54</v>
      </c>
      <c r="R117" s="6">
        <v>78853.870370370001</v>
      </c>
      <c r="S117" s="52">
        <f>IFERROR(FemalePayGapsByOccupationalSeriesAndRacialEthnicGroup[[#This Row],[Black Female Avg Salary]]/FemalePayGapsByOccupationalSeriesAndRacialEthnicGroup[[#This Row],[White Male Average Salary]],"")</f>
        <v>0.89095165457995695</v>
      </c>
      <c r="T117" s="10" t="str">
        <f>IFERROR(FemalePayGapsByOccupationalSeriesAndRacialEthnicGroup[[#This Row],[Hispanic Latino Female Employees]]/U$318,"")</f>
        <v/>
      </c>
      <c r="U117" s="8" t="s">
        <v>0</v>
      </c>
      <c r="V117" s="6" t="s">
        <v>0</v>
      </c>
      <c r="W11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17" s="10" t="str">
        <f>IFERROR(FemalePayGapsByOccupationalSeriesAndRacialEthnicGroup[[#This Row],[Other Female Employees]]/Y$318,"")</f>
        <v/>
      </c>
      <c r="Y117" s="8" t="s">
        <v>0</v>
      </c>
      <c r="Z117" s="6" t="s">
        <v>0</v>
      </c>
      <c r="AA11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18" spans="1:27" ht="15.6" x14ac:dyDescent="0.3">
      <c r="A118" s="45" t="s">
        <v>128</v>
      </c>
      <c r="B118" s="38">
        <v>307</v>
      </c>
      <c r="C118" s="39">
        <v>58039.006514658002</v>
      </c>
      <c r="D118" s="69">
        <f>IFERROR(FemalePayGapsByOccupationalSeriesAndRacialEthnicGroup[[#This Row],[White Female Employees]]/E$318,"")</f>
        <v>1.2990199299887403E-3</v>
      </c>
      <c r="E118" s="67">
        <v>593</v>
      </c>
      <c r="F118" s="64">
        <v>58584.471283783998</v>
      </c>
      <c r="G118" s="72">
        <f>IFERROR(FemalePayGapsByOccupationalSeriesAndRacialEthnicGroup[[#This Row],[White Female Avg Salary]]/FemalePayGapsByOccupationalSeriesAndRacialEthnicGroup[[#This Row],[White Male Average Salary]],"")</f>
        <v>1.0093982444201253</v>
      </c>
      <c r="H118" s="10" t="str">
        <f>IFERROR(FemalePayGapsByOccupationalSeriesAndRacialEthnicGroup[[#This Row],[AIAN Female Employees]]/I$318,"")</f>
        <v/>
      </c>
      <c r="I118" t="s">
        <v>0</v>
      </c>
      <c r="J118" s="6" t="s">
        <v>0</v>
      </c>
      <c r="K118" s="52" t="str">
        <f>IFERROR(FemalePayGapsByOccupationalSeriesAndRacialEthnicGroup[[#This Row],[AIAN Female Avg Salary]]/FemalePayGapsByOccupationalSeriesAndRacialEthnicGroup[[#This Row],[White Male Average Salary]],"")</f>
        <v/>
      </c>
      <c r="L118" s="10" t="str">
        <f>IFERROR(FemalePayGapsByOccupationalSeriesAndRacialEthnicGroup[[#This Row],[ANHPI Female Employees]]/M$318,"")</f>
        <v/>
      </c>
      <c r="M118" s="8" t="s">
        <v>0</v>
      </c>
      <c r="N118" s="6" t="s">
        <v>0</v>
      </c>
      <c r="O118" s="52" t="str">
        <f>IFERROR(FemalePayGapsByOccupationalSeriesAndRacialEthnicGroup[[#This Row],[ANHPI Female Avg Salary]]/FemalePayGapsByOccupationalSeriesAndRacialEthnicGroup[[#This Row],[White Male Average Salary]],"")</f>
        <v/>
      </c>
      <c r="P118" s="10">
        <f>IFERROR(FemalePayGapsByOccupationalSeriesAndRacialEthnicGroup[[#This Row],[Black Female Employees]]/Q$318,"")</f>
        <v>5.4178646959579882E-4</v>
      </c>
      <c r="Q118" s="8">
        <v>114</v>
      </c>
      <c r="R118" s="6">
        <v>55545.228070174999</v>
      </c>
      <c r="S118" s="52">
        <f>IFERROR(FemalePayGapsByOccupationalSeriesAndRacialEthnicGroup[[#This Row],[Black Female Avg Salary]]/FemalePayGapsByOccupationalSeriesAndRacialEthnicGroup[[#This Row],[White Male Average Salary]],"")</f>
        <v>0.95703271654291344</v>
      </c>
      <c r="T118" s="10">
        <f>IFERROR(FemalePayGapsByOccupationalSeriesAndRacialEthnicGroup[[#This Row],[Hispanic Latino Female Employees]]/U$318,"")</f>
        <v>7.178290797687565E-4</v>
      </c>
      <c r="U118" s="8">
        <v>56</v>
      </c>
      <c r="V118" s="6">
        <v>58012.785714286001</v>
      </c>
      <c r="W118" s="52">
        <f>IFERROR(FemalePayGapsByOccupationalSeriesAndRacialEthnicGroup[[#This Row],[Hispanic Latino Female Avg Salary]]/FemalePayGapsByOccupationalSeriesAndRacialEthnicGroup[[#This Row],[White Male Average Salary]],"")</f>
        <v>0.99954822106809538</v>
      </c>
      <c r="X118" s="10" t="str">
        <f>IFERROR(FemalePayGapsByOccupationalSeriesAndRacialEthnicGroup[[#This Row],[Other Female Employees]]/Y$318,"")</f>
        <v/>
      </c>
      <c r="Y118" s="8" t="s">
        <v>0</v>
      </c>
      <c r="Z118" s="6" t="s">
        <v>0</v>
      </c>
      <c r="AA11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19" spans="1:27" ht="15.6" x14ac:dyDescent="0.3">
      <c r="A119" s="46" t="s">
        <v>129</v>
      </c>
      <c r="B119" s="40">
        <v>194</v>
      </c>
      <c r="C119" s="41">
        <v>81107.458762887007</v>
      </c>
      <c r="D119" s="70">
        <f>IFERROR(FemalePayGapsByOccupationalSeriesAndRacialEthnicGroup[[#This Row],[White Female Employees]]/E$318,"")</f>
        <v>1.2661610784713187E-3</v>
      </c>
      <c r="E119" s="16">
        <v>578</v>
      </c>
      <c r="F119" s="17">
        <v>81535.038062284002</v>
      </c>
      <c r="G119" s="18">
        <f>IFERROR(FemalePayGapsByOccupationalSeriesAndRacialEthnicGroup[[#This Row],[White Female Avg Salary]]/FemalePayGapsByOccupationalSeriesAndRacialEthnicGroup[[#This Row],[White Male Average Salary]],"")</f>
        <v>1.00527176299096</v>
      </c>
      <c r="H119" s="10" t="str">
        <f>IFERROR(FemalePayGapsByOccupationalSeriesAndRacialEthnicGroup[[#This Row],[AIAN Female Employees]]/I$318,"")</f>
        <v/>
      </c>
      <c r="I119" t="s">
        <v>0</v>
      </c>
      <c r="J119" s="6" t="s">
        <v>0</v>
      </c>
      <c r="K119" s="52" t="str">
        <f>IFERROR(FemalePayGapsByOccupationalSeriesAndRacialEthnicGroup[[#This Row],[AIAN Female Avg Salary]]/FemalePayGapsByOccupationalSeriesAndRacialEthnicGroup[[#This Row],[White Male Average Salary]],"")</f>
        <v/>
      </c>
      <c r="L119" s="10" t="str">
        <f>IFERROR(FemalePayGapsByOccupationalSeriesAndRacialEthnicGroup[[#This Row],[ANHPI Female Employees]]/M$318,"")</f>
        <v/>
      </c>
      <c r="M119" s="8" t="s">
        <v>0</v>
      </c>
      <c r="N119" s="6" t="s">
        <v>0</v>
      </c>
      <c r="O119" s="52" t="str">
        <f>IFERROR(FemalePayGapsByOccupationalSeriesAndRacialEthnicGroup[[#This Row],[ANHPI Female Avg Salary]]/FemalePayGapsByOccupationalSeriesAndRacialEthnicGroup[[#This Row],[White Male Average Salary]],"")</f>
        <v/>
      </c>
      <c r="P119" s="10">
        <f>IFERROR(FemalePayGapsByOccupationalSeriesAndRacialEthnicGroup[[#This Row],[Black Female Employees]]/Q$318,"")</f>
        <v>5.6079652116056361E-4</v>
      </c>
      <c r="Q119" s="8">
        <v>118</v>
      </c>
      <c r="R119" s="6">
        <v>81718.101694915007</v>
      </c>
      <c r="S119" s="52">
        <f>IFERROR(FemalePayGapsByOccupationalSeriesAndRacialEthnicGroup[[#This Row],[Black Female Avg Salary]]/FemalePayGapsByOccupationalSeriesAndRacialEthnicGroup[[#This Row],[White Male Average Salary]],"")</f>
        <v>1.0075288135190277</v>
      </c>
      <c r="T119" s="10" t="str">
        <f>IFERROR(FemalePayGapsByOccupationalSeriesAndRacialEthnicGroup[[#This Row],[Hispanic Latino Female Employees]]/U$318,"")</f>
        <v/>
      </c>
      <c r="U119" s="8" t="s">
        <v>0</v>
      </c>
      <c r="V119" s="6" t="s">
        <v>0</v>
      </c>
      <c r="W11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19" s="10" t="str">
        <f>IFERROR(FemalePayGapsByOccupationalSeriesAndRacialEthnicGroup[[#This Row],[Other Female Employees]]/Y$318,"")</f>
        <v/>
      </c>
      <c r="Y119" s="8" t="s">
        <v>0</v>
      </c>
      <c r="Z119" s="6" t="s">
        <v>0</v>
      </c>
      <c r="AA11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20" spans="1:27" ht="15.6" x14ac:dyDescent="0.3">
      <c r="A120" s="45" t="s">
        <v>130</v>
      </c>
      <c r="B120" s="38">
        <v>2109</v>
      </c>
      <c r="C120" s="39">
        <v>53962.642619839004</v>
      </c>
      <c r="D120" s="69">
        <f>IFERROR(FemalePayGapsByOccupationalSeriesAndRacialEthnicGroup[[#This Row],[White Female Employees]]/E$318,"")</f>
        <v>8.0504186217683314E-3</v>
      </c>
      <c r="E120" s="67">
        <v>3675</v>
      </c>
      <c r="F120" s="64">
        <v>51192.155960805998</v>
      </c>
      <c r="G120" s="72">
        <f>IFERROR(FemalePayGapsByOccupationalSeriesAndRacialEthnicGroup[[#This Row],[White Female Avg Salary]]/FemalePayGapsByOccupationalSeriesAndRacialEthnicGroup[[#This Row],[White Male Average Salary]],"")</f>
        <v>0.94865917374449604</v>
      </c>
      <c r="H120" s="10">
        <f>IFERROR(FemalePayGapsByOccupationalSeriesAndRacialEthnicGroup[[#This Row],[AIAN Female Employees]]/I$318,"")</f>
        <v>3.5501519756838906E-2</v>
      </c>
      <c r="I120">
        <v>584</v>
      </c>
      <c r="J120" s="6">
        <v>48321.706689537001</v>
      </c>
      <c r="K120" s="52">
        <f>IFERROR(FemalePayGapsByOccupationalSeriesAndRacialEthnicGroup[[#This Row],[AIAN Female Avg Salary]]/FemalePayGapsByOccupationalSeriesAndRacialEthnicGroup[[#This Row],[White Male Average Salary]],"")</f>
        <v>0.89546590647826885</v>
      </c>
      <c r="L120" s="10">
        <f>IFERROR(FemalePayGapsByOccupationalSeriesAndRacialEthnicGroup[[#This Row],[ANHPI Female Employees]]/M$318,"")</f>
        <v>7.29483282674772E-3</v>
      </c>
      <c r="M120" s="8">
        <v>468</v>
      </c>
      <c r="N120" s="6">
        <v>51472.882226980997</v>
      </c>
      <c r="O120" s="52">
        <f>IFERROR(FemalePayGapsByOccupationalSeriesAndRacialEthnicGroup[[#This Row],[ANHPI Female Avg Salary]]/FemalePayGapsByOccupationalSeriesAndRacialEthnicGroup[[#This Row],[White Male Average Salary]],"")</f>
        <v>0.95386140722577095</v>
      </c>
      <c r="P120" s="10">
        <f>IFERROR(FemalePayGapsByOccupationalSeriesAndRacialEthnicGroup[[#This Row],[Black Female Employees]]/Q$318,"")</f>
        <v>1.0659886414941901E-2</v>
      </c>
      <c r="Q120" s="8">
        <v>2243</v>
      </c>
      <c r="R120" s="6">
        <v>51003.083928571003</v>
      </c>
      <c r="S120" s="52">
        <f>IFERROR(FemalePayGapsByOccupationalSeriesAndRacialEthnicGroup[[#This Row],[Black Female Avg Salary]]/FemalePayGapsByOccupationalSeriesAndRacialEthnicGroup[[#This Row],[White Male Average Salary]],"")</f>
        <v>0.9451554159028539</v>
      </c>
      <c r="T120" s="10">
        <f>IFERROR(FemalePayGapsByOccupationalSeriesAndRacialEthnicGroup[[#This Row],[Hispanic Latino Female Employees]]/U$318,"")</f>
        <v>8.7549510978939416E-3</v>
      </c>
      <c r="U120" s="8">
        <v>683</v>
      </c>
      <c r="V120" s="6">
        <v>51936.915080526996</v>
      </c>
      <c r="W120" s="52">
        <f>IFERROR(FemalePayGapsByOccupationalSeriesAndRacialEthnicGroup[[#This Row],[Hispanic Latino Female Avg Salary]]/FemalePayGapsByOccupationalSeriesAndRacialEthnicGroup[[#This Row],[White Male Average Salary]],"")</f>
        <v>0.9624605571379623</v>
      </c>
      <c r="X120" s="10">
        <f>IFERROR(FemalePayGapsByOccupationalSeriesAndRacialEthnicGroup[[#This Row],[Other Female Employees]]/Y$318,"")</f>
        <v>7.63099881295574E-3</v>
      </c>
      <c r="Y120" s="8">
        <v>135</v>
      </c>
      <c r="Z120" s="6">
        <v>50800.533333332998</v>
      </c>
      <c r="AA120" s="1">
        <f>IFERROR(FemalePayGapsByOccupationalSeriesAndRacialEthnicGroup[[#This Row],[Other Female Avg Salary]]/FemalePayGapsByOccupationalSeriesAndRacialEthnicGroup[[#This Row],[White Male Average Salary]],"")</f>
        <v>0.9414018822468958</v>
      </c>
    </row>
    <row r="121" spans="1:27" ht="15.6" x14ac:dyDescent="0.3">
      <c r="A121" s="46" t="s">
        <v>131</v>
      </c>
      <c r="B121" s="40">
        <v>864</v>
      </c>
      <c r="C121" s="41">
        <v>85087.310185184993</v>
      </c>
      <c r="D121" s="70">
        <f>IFERROR(FemalePayGapsByOccupationalSeriesAndRacialEthnicGroup[[#This Row],[White Female Employees]]/E$318,"")</f>
        <v>4.7426275690145413E-3</v>
      </c>
      <c r="E121" s="16">
        <v>2165</v>
      </c>
      <c r="F121" s="17">
        <v>85118.301433194996</v>
      </c>
      <c r="G121" s="18">
        <f>IFERROR(FemalePayGapsByOccupationalSeriesAndRacialEthnicGroup[[#This Row],[White Female Avg Salary]]/FemalePayGapsByOccupationalSeriesAndRacialEthnicGroup[[#This Row],[White Male Average Salary]],"")</f>
        <v>1.0003642287897285</v>
      </c>
      <c r="H121" s="10">
        <f>IFERROR(FemalePayGapsByOccupationalSeriesAndRacialEthnicGroup[[#This Row],[AIAN Female Employees]]/I$318,"")</f>
        <v>8.8753799392097266E-3</v>
      </c>
      <c r="I121">
        <v>146</v>
      </c>
      <c r="J121" s="6">
        <v>83741.020547944994</v>
      </c>
      <c r="K121" s="52">
        <f>IFERROR(FemalePayGapsByOccupationalSeriesAndRacialEthnicGroup[[#This Row],[AIAN Female Avg Salary]]/FemalePayGapsByOccupationalSeriesAndRacialEthnicGroup[[#This Row],[White Male Average Salary]],"")</f>
        <v>0.98417755086733949</v>
      </c>
      <c r="L121" s="10">
        <f>IFERROR(FemalePayGapsByOccupationalSeriesAndRacialEthnicGroup[[#This Row],[ANHPI Female Employees]]/M$318,"")</f>
        <v>1.0412282752708285E-2</v>
      </c>
      <c r="M121" s="8">
        <v>668</v>
      </c>
      <c r="N121" s="6">
        <v>89794.770614693</v>
      </c>
      <c r="O121" s="52">
        <f>IFERROR(FemalePayGapsByOccupationalSeriesAndRacialEthnicGroup[[#This Row],[ANHPI Female Avg Salary]]/FemalePayGapsByOccupationalSeriesAndRacialEthnicGroup[[#This Row],[White Male Average Salary]],"")</f>
        <v>1.0553250586869256</v>
      </c>
      <c r="P121" s="10">
        <f>IFERROR(FemalePayGapsByOccupationalSeriesAndRacialEthnicGroup[[#This Row],[Black Female Employees]]/Q$318,"")</f>
        <v>2.6471496803935081E-3</v>
      </c>
      <c r="Q121" s="8">
        <v>557</v>
      </c>
      <c r="R121" s="6">
        <v>84775.044883302995</v>
      </c>
      <c r="S121" s="52">
        <f>IFERROR(FemalePayGapsByOccupationalSeriesAndRacialEthnicGroup[[#This Row],[Black Female Avg Salary]]/FemalePayGapsByOccupationalSeriesAndRacialEthnicGroup[[#This Row],[White Male Average Salary]],"")</f>
        <v>0.99633006024984949</v>
      </c>
      <c r="T121" s="10">
        <f>IFERROR(FemalePayGapsByOccupationalSeriesAndRacialEthnicGroup[[#This Row],[Hispanic Latino Female Employees]]/U$318,"")</f>
        <v>4.8068911591657802E-3</v>
      </c>
      <c r="U121" s="8">
        <v>375</v>
      </c>
      <c r="V121" s="6">
        <v>81722.181818181998</v>
      </c>
      <c r="W121" s="52">
        <f>IFERROR(FemalePayGapsByOccupationalSeriesAndRacialEthnicGroup[[#This Row],[Hispanic Latino Female Avg Salary]]/FemalePayGapsByOccupationalSeriesAndRacialEthnicGroup[[#This Row],[White Male Average Salary]],"")</f>
        <v>0.96045087851902833</v>
      </c>
      <c r="X121" s="10" t="str">
        <f>IFERROR(FemalePayGapsByOccupationalSeriesAndRacialEthnicGroup[[#This Row],[Other Female Employees]]/Y$318,"")</f>
        <v/>
      </c>
      <c r="Y121" s="8" t="s">
        <v>0</v>
      </c>
      <c r="Z121" s="6" t="s">
        <v>0</v>
      </c>
      <c r="AA12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22" spans="1:27" ht="15.6" x14ac:dyDescent="0.3">
      <c r="A122" s="45" t="s">
        <v>132</v>
      </c>
      <c r="B122" s="38">
        <v>412</v>
      </c>
      <c r="C122" s="39">
        <v>49492.075242717998</v>
      </c>
      <c r="D122" s="69">
        <f>IFERROR(FemalePayGapsByOccupationalSeriesAndRacialEthnicGroup[[#This Row],[White Female Employees]]/E$318,"")</f>
        <v>1.7962838829523897E-3</v>
      </c>
      <c r="E122" s="67">
        <v>820</v>
      </c>
      <c r="F122" s="64">
        <v>47018.547677262002</v>
      </c>
      <c r="G122" s="72">
        <f>IFERROR(FemalePayGapsByOccupationalSeriesAndRacialEthnicGroup[[#This Row],[White Female Avg Salary]]/FemalePayGapsByOccupationalSeriesAndRacialEthnicGroup[[#This Row],[White Male Average Salary]],"")</f>
        <v>0.95002174482833113</v>
      </c>
      <c r="H122" s="10">
        <f>IFERROR(FemalePayGapsByOccupationalSeriesAndRacialEthnicGroup[[#This Row],[AIAN Female Employees]]/I$318,"")</f>
        <v>6.018237082066869E-3</v>
      </c>
      <c r="I122">
        <v>99</v>
      </c>
      <c r="J122" s="6">
        <v>46911.252525253003</v>
      </c>
      <c r="K122" s="52">
        <f>IFERROR(FemalePayGapsByOccupationalSeriesAndRacialEthnicGroup[[#This Row],[AIAN Female Avg Salary]]/FemalePayGapsByOccupationalSeriesAndRacialEthnicGroup[[#This Row],[White Male Average Salary]],"")</f>
        <v>0.94785381892336951</v>
      </c>
      <c r="L122" s="10">
        <f>IFERROR(FemalePayGapsByOccupationalSeriesAndRacialEthnicGroup[[#This Row],[ANHPI Female Employees]]/M$318,"")</f>
        <v>2.1510404489127892E-3</v>
      </c>
      <c r="M122" s="8">
        <v>138</v>
      </c>
      <c r="N122" s="6">
        <v>50215.014492754002</v>
      </c>
      <c r="O122" s="52">
        <f>IFERROR(FemalePayGapsByOccupationalSeriesAndRacialEthnicGroup[[#This Row],[ANHPI Female Avg Salary]]/FemalePayGapsByOccupationalSeriesAndRacialEthnicGroup[[#This Row],[White Male Average Salary]],"")</f>
        <v>1.0146071718854095</v>
      </c>
      <c r="P122" s="10">
        <f>IFERROR(FemalePayGapsByOccupationalSeriesAndRacialEthnicGroup[[#This Row],[Black Female Employees]]/Q$318,"")</f>
        <v>2.7469524511085238E-3</v>
      </c>
      <c r="Q122" s="8">
        <v>578</v>
      </c>
      <c r="R122" s="6">
        <v>46434.142114385002</v>
      </c>
      <c r="S122" s="52">
        <f>IFERROR(FemalePayGapsByOccupationalSeriesAndRacialEthnicGroup[[#This Row],[Black Female Avg Salary]]/FemalePayGapsByOccupationalSeriesAndRacialEthnicGroup[[#This Row],[White Male Average Salary]],"")</f>
        <v>0.93821368141593686</v>
      </c>
      <c r="T122" s="10">
        <f>IFERROR(FemalePayGapsByOccupationalSeriesAndRacialEthnicGroup[[#This Row],[Hispanic Latino Female Employees]]/U$318,"")</f>
        <v>2.5124017791906478E-3</v>
      </c>
      <c r="U122" s="8">
        <v>196</v>
      </c>
      <c r="V122" s="6">
        <v>46507.612244898002</v>
      </c>
      <c r="W122" s="52">
        <f>IFERROR(FemalePayGapsByOccupationalSeriesAndRacialEthnicGroup[[#This Row],[Hispanic Latino Female Avg Salary]]/FemalePayGapsByOccupationalSeriesAndRacialEthnicGroup[[#This Row],[White Male Average Salary]],"")</f>
        <v>0.9396981641367097</v>
      </c>
      <c r="X122" s="10" t="str">
        <f>IFERROR(FemalePayGapsByOccupationalSeriesAndRacialEthnicGroup[[#This Row],[Other Female Employees]]/Y$318,"")</f>
        <v/>
      </c>
      <c r="Y122" s="8" t="s">
        <v>0</v>
      </c>
      <c r="Z122" s="6" t="s">
        <v>0</v>
      </c>
      <c r="AA12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23" spans="1:27" ht="15.6" x14ac:dyDescent="0.3">
      <c r="A123" s="46" t="s">
        <v>133</v>
      </c>
      <c r="B123" s="40">
        <v>55</v>
      </c>
      <c r="C123" s="41">
        <v>64683.436363635999</v>
      </c>
      <c r="D123" s="70">
        <f>IFERROR(FemalePayGapsByOccupationalSeriesAndRacialEthnicGroup[[#This Row],[White Female Employees]]/E$318,"")</f>
        <v>3.5268500628699359E-4</v>
      </c>
      <c r="E123" s="16">
        <v>161</v>
      </c>
      <c r="F123" s="17">
        <v>60973.212500000001</v>
      </c>
      <c r="G123" s="18">
        <f>IFERROR(FemalePayGapsByOccupationalSeriesAndRacialEthnicGroup[[#This Row],[White Female Avg Salary]]/FemalePayGapsByOccupationalSeriesAndRacialEthnicGroup[[#This Row],[White Male Average Salary]],"")</f>
        <v>0.94264027899232283</v>
      </c>
      <c r="H123" s="10" t="str">
        <f>IFERROR(FemalePayGapsByOccupationalSeriesAndRacialEthnicGroup[[#This Row],[AIAN Female Employees]]/I$318,"")</f>
        <v/>
      </c>
      <c r="I123" t="s">
        <v>0</v>
      </c>
      <c r="J123" s="6" t="s">
        <v>0</v>
      </c>
      <c r="K123" s="52" t="str">
        <f>IFERROR(FemalePayGapsByOccupationalSeriesAndRacialEthnicGroup[[#This Row],[AIAN Female Avg Salary]]/FemalePayGapsByOccupationalSeriesAndRacialEthnicGroup[[#This Row],[White Male Average Salary]],"")</f>
        <v/>
      </c>
      <c r="L123" s="10" t="str">
        <f>IFERROR(FemalePayGapsByOccupationalSeriesAndRacialEthnicGroup[[#This Row],[ANHPI Female Employees]]/M$318,"")</f>
        <v/>
      </c>
      <c r="M123" s="8" t="s">
        <v>0</v>
      </c>
      <c r="N123" s="6" t="s">
        <v>0</v>
      </c>
      <c r="O123" s="52" t="str">
        <f>IFERROR(FemalePayGapsByOccupationalSeriesAndRacialEthnicGroup[[#This Row],[ANHPI Female Avg Salary]]/FemalePayGapsByOccupationalSeriesAndRacialEthnicGroup[[#This Row],[White Male Average Salary]],"")</f>
        <v/>
      </c>
      <c r="P123" s="10" t="str">
        <f>IFERROR(FemalePayGapsByOccupationalSeriesAndRacialEthnicGroup[[#This Row],[Black Female Employees]]/Q$318,"")</f>
        <v/>
      </c>
      <c r="Q123" s="8" t="s">
        <v>0</v>
      </c>
      <c r="R123" s="6" t="s">
        <v>0</v>
      </c>
      <c r="S123" s="52" t="str">
        <f>IFERROR(FemalePayGapsByOccupationalSeriesAndRacialEthnicGroup[[#This Row],[Black Female Avg Salary]]/FemalePayGapsByOccupationalSeriesAndRacialEthnicGroup[[#This Row],[White Male Average Salary]],"")</f>
        <v/>
      </c>
      <c r="T123" s="10" t="str">
        <f>IFERROR(FemalePayGapsByOccupationalSeriesAndRacialEthnicGroup[[#This Row],[Hispanic Latino Female Employees]]/U$318,"")</f>
        <v/>
      </c>
      <c r="U123" s="8" t="s">
        <v>0</v>
      </c>
      <c r="V123" s="6" t="s">
        <v>0</v>
      </c>
      <c r="W12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23" s="10" t="str">
        <f>IFERROR(FemalePayGapsByOccupationalSeriesAndRacialEthnicGroup[[#This Row],[Other Female Employees]]/Y$318,"")</f>
        <v/>
      </c>
      <c r="Y123" s="8" t="s">
        <v>0</v>
      </c>
      <c r="Z123" s="6" t="s">
        <v>0</v>
      </c>
      <c r="AA12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24" spans="1:27" ht="15.6" x14ac:dyDescent="0.3">
      <c r="A124" s="45" t="s">
        <v>134</v>
      </c>
      <c r="B124" s="38">
        <v>1456</v>
      </c>
      <c r="C124" s="39">
        <v>78836.991746904998</v>
      </c>
      <c r="D124" s="69">
        <f>IFERROR(FemalePayGapsByOccupationalSeriesAndRacialEthnicGroup[[#This Row],[White Female Employees]]/E$318,"")</f>
        <v>4.7053875372947964E-3</v>
      </c>
      <c r="E124" s="67">
        <v>2148</v>
      </c>
      <c r="F124" s="64">
        <v>76299.511411272004</v>
      </c>
      <c r="G124" s="72">
        <f>IFERROR(FemalePayGapsByOccupationalSeriesAndRacialEthnicGroup[[#This Row],[White Female Avg Salary]]/FemalePayGapsByOccupationalSeriesAndRacialEthnicGroup[[#This Row],[White Male Average Salary]],"")</f>
        <v>0.96781358243882243</v>
      </c>
      <c r="H124" s="10">
        <f>IFERROR(FemalePayGapsByOccupationalSeriesAndRacialEthnicGroup[[#This Row],[AIAN Female Employees]]/I$318,"")</f>
        <v>5.835866261398176E-3</v>
      </c>
      <c r="I124">
        <v>96</v>
      </c>
      <c r="J124" s="6">
        <v>74627.852631578993</v>
      </c>
      <c r="K124" s="52">
        <f>IFERROR(FemalePayGapsByOccupationalSeriesAndRacialEthnicGroup[[#This Row],[AIAN Female Avg Salary]]/FemalePayGapsByOccupationalSeriesAndRacialEthnicGroup[[#This Row],[White Male Average Salary]],"")</f>
        <v>0.9466095925014637</v>
      </c>
      <c r="L124" s="10">
        <f>IFERROR(FemalePayGapsByOccupationalSeriesAndRacialEthnicGroup[[#This Row],[ANHPI Female Employees]]/M$318,"")</f>
        <v>2.4627854415088459E-3</v>
      </c>
      <c r="M124" s="8">
        <v>158</v>
      </c>
      <c r="N124" s="6">
        <v>80212.791139241002</v>
      </c>
      <c r="O124" s="52">
        <f>IFERROR(FemalePayGapsByOccupationalSeriesAndRacialEthnicGroup[[#This Row],[ANHPI Female Avg Salary]]/FemalePayGapsByOccupationalSeriesAndRacialEthnicGroup[[#This Row],[White Male Average Salary]],"")</f>
        <v>1.0174511908921235</v>
      </c>
      <c r="P124" s="10">
        <f>IFERROR(FemalePayGapsByOccupationalSeriesAndRacialEthnicGroup[[#This Row],[Black Female Employees]]/Q$318,"")</f>
        <v>1.8107074115438538E-3</v>
      </c>
      <c r="Q124" s="8">
        <v>381</v>
      </c>
      <c r="R124" s="6">
        <v>77810.710526316005</v>
      </c>
      <c r="S124" s="52">
        <f>IFERROR(FemalePayGapsByOccupationalSeriesAndRacialEthnicGroup[[#This Row],[Black Female Avg Salary]]/FemalePayGapsByOccupationalSeriesAndRacialEthnicGroup[[#This Row],[White Male Average Salary]],"")</f>
        <v>0.98698223767994953</v>
      </c>
      <c r="T124" s="10">
        <f>IFERROR(FemalePayGapsByOccupationalSeriesAndRacialEthnicGroup[[#This Row],[Hispanic Latino Female Employees]]/U$318,"")</f>
        <v>2.4483098970684374E-3</v>
      </c>
      <c r="U124" s="8">
        <v>191</v>
      </c>
      <c r="V124" s="6">
        <v>76375.738219895007</v>
      </c>
      <c r="W124" s="52">
        <f>IFERROR(FemalePayGapsByOccupationalSeriesAndRacialEthnicGroup[[#This Row],[Hispanic Latino Female Avg Salary]]/FemalePayGapsByOccupationalSeriesAndRacialEthnicGroup[[#This Row],[White Male Average Salary]],"")</f>
        <v>0.96878047382995669</v>
      </c>
      <c r="X124" s="10" t="str">
        <f>IFERROR(FemalePayGapsByOccupationalSeriesAndRacialEthnicGroup[[#This Row],[Other Female Employees]]/Y$318,"")</f>
        <v/>
      </c>
      <c r="Y124" s="8" t="s">
        <v>0</v>
      </c>
      <c r="Z124" s="6" t="s">
        <v>0</v>
      </c>
      <c r="AA12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25" spans="1:27" ht="15.6" x14ac:dyDescent="0.3">
      <c r="A125" s="46" t="s">
        <v>135</v>
      </c>
      <c r="B125" s="40">
        <v>87</v>
      </c>
      <c r="C125" s="41">
        <v>105901.804597701</v>
      </c>
      <c r="D125" s="70">
        <f>IFERROR(FemalePayGapsByOccupationalSeriesAndRacialEthnicGroup[[#This Row],[White Female Employees]]/E$318,"")</f>
        <v>3.2201674487073329E-4</v>
      </c>
      <c r="E125" s="16">
        <v>147</v>
      </c>
      <c r="F125" s="17">
        <v>100341.52380952401</v>
      </c>
      <c r="G125" s="18">
        <f>IFERROR(FemalePayGapsByOccupationalSeriesAndRacialEthnicGroup[[#This Row],[White Female Avg Salary]]/FemalePayGapsByOccupationalSeriesAndRacialEthnicGroup[[#This Row],[White Male Average Salary]],"")</f>
        <v>0.9474958825366635</v>
      </c>
      <c r="H125" s="10" t="str">
        <f>IFERROR(FemalePayGapsByOccupationalSeriesAndRacialEthnicGroup[[#This Row],[AIAN Female Employees]]/I$318,"")</f>
        <v/>
      </c>
      <c r="I125" t="s">
        <v>0</v>
      </c>
      <c r="J125" s="6" t="s">
        <v>0</v>
      </c>
      <c r="K125" s="52" t="str">
        <f>IFERROR(FemalePayGapsByOccupationalSeriesAndRacialEthnicGroup[[#This Row],[AIAN Female Avg Salary]]/FemalePayGapsByOccupationalSeriesAndRacialEthnicGroup[[#This Row],[White Male Average Salary]],"")</f>
        <v/>
      </c>
      <c r="L125" s="10" t="str">
        <f>IFERROR(FemalePayGapsByOccupationalSeriesAndRacialEthnicGroup[[#This Row],[ANHPI Female Employees]]/M$318,"")</f>
        <v/>
      </c>
      <c r="M125" s="8" t="s">
        <v>0</v>
      </c>
      <c r="N125" s="6" t="s">
        <v>0</v>
      </c>
      <c r="O125" s="52" t="str">
        <f>IFERROR(FemalePayGapsByOccupationalSeriesAndRacialEthnicGroup[[#This Row],[ANHPI Female Avg Salary]]/FemalePayGapsByOccupationalSeriesAndRacialEthnicGroup[[#This Row],[White Male Average Salary]],"")</f>
        <v/>
      </c>
      <c r="P125" s="10" t="str">
        <f>IFERROR(FemalePayGapsByOccupationalSeriesAndRacialEthnicGroup[[#This Row],[Black Female Employees]]/Q$318,"")</f>
        <v/>
      </c>
      <c r="Q125" s="8" t="s">
        <v>0</v>
      </c>
      <c r="R125" s="6" t="s">
        <v>0</v>
      </c>
      <c r="S125" s="52" t="str">
        <f>IFERROR(FemalePayGapsByOccupationalSeriesAndRacialEthnicGroup[[#This Row],[Black Female Avg Salary]]/FemalePayGapsByOccupationalSeriesAndRacialEthnicGroup[[#This Row],[White Male Average Salary]],"")</f>
        <v/>
      </c>
      <c r="T125" s="10" t="str">
        <f>IFERROR(FemalePayGapsByOccupationalSeriesAndRacialEthnicGroup[[#This Row],[Hispanic Latino Female Employees]]/U$318,"")</f>
        <v/>
      </c>
      <c r="U125" s="8" t="s">
        <v>0</v>
      </c>
      <c r="V125" s="6" t="s">
        <v>0</v>
      </c>
      <c r="W12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25" s="10" t="str">
        <f>IFERROR(FemalePayGapsByOccupationalSeriesAndRacialEthnicGroup[[#This Row],[Other Female Employees]]/Y$318,"")</f>
        <v/>
      </c>
      <c r="Y125" s="8" t="s">
        <v>0</v>
      </c>
      <c r="Z125" s="6" t="s">
        <v>0</v>
      </c>
      <c r="AA12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26" spans="1:27" ht="15.6" x14ac:dyDescent="0.3">
      <c r="A126" s="45" t="s">
        <v>136</v>
      </c>
      <c r="B126" s="38">
        <v>699</v>
      </c>
      <c r="C126" s="39">
        <v>67787.763610315</v>
      </c>
      <c r="D126" s="69">
        <f>IFERROR(FemalePayGapsByOccupationalSeriesAndRacialEthnicGroup[[#This Row],[White Female Employees]]/E$318,"")</f>
        <v>2.9923460781865418E-3</v>
      </c>
      <c r="E126" s="67">
        <v>1366</v>
      </c>
      <c r="F126" s="64">
        <v>68868.817180616999</v>
      </c>
      <c r="G126" s="72">
        <f>IFERROR(FemalePayGapsByOccupationalSeriesAndRacialEthnicGroup[[#This Row],[White Female Avg Salary]]/FemalePayGapsByOccupationalSeriesAndRacialEthnicGroup[[#This Row],[White Male Average Salary]],"")</f>
        <v>1.0159476211151699</v>
      </c>
      <c r="H126" s="10" t="str">
        <f>IFERROR(FemalePayGapsByOccupationalSeriesAndRacialEthnicGroup[[#This Row],[AIAN Female Employees]]/I$318,"")</f>
        <v/>
      </c>
      <c r="I126" t="s">
        <v>0</v>
      </c>
      <c r="J126" s="6" t="s">
        <v>0</v>
      </c>
      <c r="K126" s="52" t="str">
        <f>IFERROR(FemalePayGapsByOccupationalSeriesAndRacialEthnicGroup[[#This Row],[AIAN Female Avg Salary]]/FemalePayGapsByOccupationalSeriesAndRacialEthnicGroup[[#This Row],[White Male Average Salary]],"")</f>
        <v/>
      </c>
      <c r="L126" s="10">
        <f>IFERROR(FemalePayGapsByOccupationalSeriesAndRacialEthnicGroup[[#This Row],[ANHPI Female Employees]]/M$318,"")</f>
        <v>3.1330371755903669E-3</v>
      </c>
      <c r="M126" s="8">
        <v>201</v>
      </c>
      <c r="N126" s="6">
        <v>69293.253731342993</v>
      </c>
      <c r="O126" s="52">
        <f>IFERROR(FemalePayGapsByOccupationalSeriesAndRacialEthnicGroup[[#This Row],[ANHPI Female Avg Salary]]/FemalePayGapsByOccupationalSeriesAndRacialEthnicGroup[[#This Row],[White Male Average Salary]],"")</f>
        <v>1.0222088772493287</v>
      </c>
      <c r="P126" s="10">
        <f>IFERROR(FemalePayGapsByOccupationalSeriesAndRacialEthnicGroup[[#This Row],[Black Female Employees]]/Q$318,"")</f>
        <v>2.9132904023002164E-3</v>
      </c>
      <c r="Q126" s="8">
        <v>613</v>
      </c>
      <c r="R126" s="6">
        <v>61509.698854337003</v>
      </c>
      <c r="S126" s="52">
        <f>IFERROR(FemalePayGapsByOccupationalSeriesAndRacialEthnicGroup[[#This Row],[Black Female Avg Salary]]/FemalePayGapsByOccupationalSeriesAndRacialEthnicGroup[[#This Row],[White Male Average Salary]],"")</f>
        <v>0.90738646000968393</v>
      </c>
      <c r="T126" s="10">
        <f>IFERROR(FemalePayGapsByOccupationalSeriesAndRacialEthnicGroup[[#This Row],[Hispanic Latino Female Employees]]/U$318,"")</f>
        <v>3.1020470947149834E-3</v>
      </c>
      <c r="U126" s="8">
        <v>242</v>
      </c>
      <c r="V126" s="6">
        <v>66037.173553718996</v>
      </c>
      <c r="W126" s="52">
        <f>IFERROR(FemalePayGapsByOccupationalSeriesAndRacialEthnicGroup[[#This Row],[Hispanic Latino Female Avg Salary]]/FemalePayGapsByOccupationalSeriesAndRacialEthnicGroup[[#This Row],[White Male Average Salary]],"")</f>
        <v>0.97417542690065051</v>
      </c>
      <c r="X126" s="10" t="str">
        <f>IFERROR(FemalePayGapsByOccupationalSeriesAndRacialEthnicGroup[[#This Row],[Other Female Employees]]/Y$318,"")</f>
        <v/>
      </c>
      <c r="Y126" s="8" t="s">
        <v>0</v>
      </c>
      <c r="Z126" s="6" t="s">
        <v>0</v>
      </c>
      <c r="AA12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27" spans="1:27" ht="15.6" x14ac:dyDescent="0.3">
      <c r="A127" s="46" t="s">
        <v>137</v>
      </c>
      <c r="B127" s="40">
        <v>71</v>
      </c>
      <c r="C127" s="41">
        <v>68144.887323944</v>
      </c>
      <c r="D127" s="70">
        <f>IFERROR(FemalePayGapsByOccupationalSeriesAndRacialEthnicGroup[[#This Row],[White Female Employees]]/E$318,"")</f>
        <v>1.423883565754943E-4</v>
      </c>
      <c r="E127" s="16">
        <v>65</v>
      </c>
      <c r="F127" s="17">
        <v>67166.707692308002</v>
      </c>
      <c r="G127" s="18">
        <f>IFERROR(FemalePayGapsByOccupationalSeriesAndRacialEthnicGroup[[#This Row],[White Female Avg Salary]]/FemalePayGapsByOccupationalSeriesAndRacialEthnicGroup[[#This Row],[White Male Average Salary]],"")</f>
        <v>0.98564559029959253</v>
      </c>
      <c r="H127" s="10" t="str">
        <f>IFERROR(FemalePayGapsByOccupationalSeriesAndRacialEthnicGroup[[#This Row],[AIAN Female Employees]]/I$318,"")</f>
        <v/>
      </c>
      <c r="I127" t="s">
        <v>0</v>
      </c>
      <c r="J127" s="6" t="s">
        <v>0</v>
      </c>
      <c r="K127" s="52" t="str">
        <f>IFERROR(FemalePayGapsByOccupationalSeriesAndRacialEthnicGroup[[#This Row],[AIAN Female Avg Salary]]/FemalePayGapsByOccupationalSeriesAndRacialEthnicGroup[[#This Row],[White Male Average Salary]],"")</f>
        <v/>
      </c>
      <c r="L127" s="10" t="str">
        <f>IFERROR(FemalePayGapsByOccupationalSeriesAndRacialEthnicGroup[[#This Row],[ANHPI Female Employees]]/M$318,"")</f>
        <v/>
      </c>
      <c r="M127" s="8" t="s">
        <v>0</v>
      </c>
      <c r="N127" s="6" t="s">
        <v>0</v>
      </c>
      <c r="O127" s="52" t="str">
        <f>IFERROR(FemalePayGapsByOccupationalSeriesAndRacialEthnicGroup[[#This Row],[ANHPI Female Avg Salary]]/FemalePayGapsByOccupationalSeriesAndRacialEthnicGroup[[#This Row],[White Male Average Salary]],"")</f>
        <v/>
      </c>
      <c r="P127" s="10" t="str">
        <f>IFERROR(FemalePayGapsByOccupationalSeriesAndRacialEthnicGroup[[#This Row],[Black Female Employees]]/Q$318,"")</f>
        <v/>
      </c>
      <c r="Q127" s="8" t="s">
        <v>0</v>
      </c>
      <c r="R127" s="6" t="s">
        <v>0</v>
      </c>
      <c r="S127" s="52" t="str">
        <f>IFERROR(FemalePayGapsByOccupationalSeriesAndRacialEthnicGroup[[#This Row],[Black Female Avg Salary]]/FemalePayGapsByOccupationalSeriesAndRacialEthnicGroup[[#This Row],[White Male Average Salary]],"")</f>
        <v/>
      </c>
      <c r="T127" s="10" t="str">
        <f>IFERROR(FemalePayGapsByOccupationalSeriesAndRacialEthnicGroup[[#This Row],[Hispanic Latino Female Employees]]/U$318,"")</f>
        <v/>
      </c>
      <c r="U127" s="8" t="s">
        <v>0</v>
      </c>
      <c r="V127" s="6" t="s">
        <v>0</v>
      </c>
      <c r="W12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27" s="10" t="str">
        <f>IFERROR(FemalePayGapsByOccupationalSeriesAndRacialEthnicGroup[[#This Row],[Other Female Employees]]/Y$318,"")</f>
        <v/>
      </c>
      <c r="Y127" s="8" t="s">
        <v>0</v>
      </c>
      <c r="Z127" s="6" t="s">
        <v>0</v>
      </c>
      <c r="AA12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28" spans="1:27" ht="15.6" x14ac:dyDescent="0.3">
      <c r="A128" s="45" t="s">
        <v>138</v>
      </c>
      <c r="B128" s="38">
        <v>2759</v>
      </c>
      <c r="C128" s="39">
        <v>142917.68084332999</v>
      </c>
      <c r="D128" s="69">
        <f>IFERROR(FemalePayGapsByOccupationalSeriesAndRacialEthnicGroup[[#This Row],[White Female Employees]]/E$318,"")</f>
        <v>1.0149003938681001E-2</v>
      </c>
      <c r="E128" s="67">
        <v>4633</v>
      </c>
      <c r="F128" s="64">
        <v>142254.33448798399</v>
      </c>
      <c r="G128" s="72">
        <f>IFERROR(FemalePayGapsByOccupationalSeriesAndRacialEthnicGroup[[#This Row],[White Female Avg Salary]]/FemalePayGapsByOccupationalSeriesAndRacialEthnicGroup[[#This Row],[White Male Average Salary]],"")</f>
        <v>0.99535854240404875</v>
      </c>
      <c r="H128" s="10">
        <f>IFERROR(FemalePayGapsByOccupationalSeriesAndRacialEthnicGroup[[#This Row],[AIAN Female Employees]]/I$318,"")</f>
        <v>5.288753799392097E-3</v>
      </c>
      <c r="I128">
        <v>87</v>
      </c>
      <c r="J128" s="6">
        <v>133944.37931034499</v>
      </c>
      <c r="K128" s="52">
        <f>IFERROR(FemalePayGapsByOccupationalSeriesAndRacialEthnicGroup[[#This Row],[AIAN Female Avg Salary]]/FemalePayGapsByOccupationalSeriesAndRacialEthnicGroup[[#This Row],[White Male Average Salary]],"")</f>
        <v>0.93721349604866755</v>
      </c>
      <c r="L128" s="10">
        <f>IFERROR(FemalePayGapsByOccupationalSeriesAndRacialEthnicGroup[[#This Row],[ANHPI Female Employees]]/M$318,"")</f>
        <v>2.292884420543995E-2</v>
      </c>
      <c r="M128" s="8">
        <v>1471</v>
      </c>
      <c r="N128" s="6">
        <v>143602.32993197301</v>
      </c>
      <c r="O128" s="52">
        <f>IFERROR(FemalePayGapsByOccupationalSeriesAndRacialEthnicGroup[[#This Row],[ANHPI Female Avg Salary]]/FemalePayGapsByOccupationalSeriesAndRacialEthnicGroup[[#This Row],[White Male Average Salary]],"")</f>
        <v>1.0047905135641932</v>
      </c>
      <c r="P128" s="10">
        <f>IFERROR(FemalePayGapsByOccupationalSeriesAndRacialEthnicGroup[[#This Row],[Black Female Employees]]/Q$318,"")</f>
        <v>3.7497326711498705E-3</v>
      </c>
      <c r="Q128" s="8">
        <v>789</v>
      </c>
      <c r="R128" s="6">
        <v>139438.392630241</v>
      </c>
      <c r="S128" s="52">
        <f>IFERROR(FemalePayGapsByOccupationalSeriesAndRacialEthnicGroup[[#This Row],[Black Female Avg Salary]]/FemalePayGapsByOccupationalSeriesAndRacialEthnicGroup[[#This Row],[White Male Average Salary]],"")</f>
        <v>0.97565529896260295</v>
      </c>
      <c r="T128" s="10">
        <f>IFERROR(FemalePayGapsByOccupationalSeriesAndRacialEthnicGroup[[#This Row],[Hispanic Latino Female Employees]]/U$318,"")</f>
        <v>3.6660556573904347E-3</v>
      </c>
      <c r="U128" s="8">
        <v>286</v>
      </c>
      <c r="V128" s="6">
        <v>142069.971929825</v>
      </c>
      <c r="W128" s="52">
        <f>IFERROR(FemalePayGapsByOccupationalSeriesAndRacialEthnicGroup[[#This Row],[Hispanic Latino Female Avg Salary]]/FemalePayGapsByOccupationalSeriesAndRacialEthnicGroup[[#This Row],[White Male Average Salary]],"")</f>
        <v>0.99406855115124437</v>
      </c>
      <c r="X128" s="10">
        <f>IFERROR(FemalePayGapsByOccupationalSeriesAndRacialEthnicGroup[[#This Row],[Other Female Employees]]/Y$318,"")</f>
        <v>5.2003843762365044E-3</v>
      </c>
      <c r="Y128" s="8">
        <v>92</v>
      </c>
      <c r="Z128" s="6">
        <v>139000.532608696</v>
      </c>
      <c r="AA128" s="1">
        <f>IFERROR(FemalePayGapsByOccupationalSeriesAndRacialEthnicGroup[[#This Row],[Other Female Avg Salary]]/FemalePayGapsByOccupationalSeriesAndRacialEthnicGroup[[#This Row],[White Male Average Salary]],"")</f>
        <v>0.97259157711264521</v>
      </c>
    </row>
    <row r="129" spans="1:27" ht="15.6" x14ac:dyDescent="0.3">
      <c r="A129" s="46" t="s">
        <v>139</v>
      </c>
      <c r="B129" s="40">
        <v>750</v>
      </c>
      <c r="C129" s="41">
        <v>51241.270666666998</v>
      </c>
      <c r="D129" s="70">
        <f>IFERROR(FemalePayGapsByOccupationalSeriesAndRacialEthnicGroup[[#This Row],[White Female Employees]]/E$318,"")</f>
        <v>5.7108683937279027E-3</v>
      </c>
      <c r="E129" s="16">
        <v>2607</v>
      </c>
      <c r="F129" s="17">
        <v>50389.652959261999</v>
      </c>
      <c r="G129" s="18">
        <f>IFERROR(FemalePayGapsByOccupationalSeriesAndRacialEthnicGroup[[#This Row],[White Female Avg Salary]]/FemalePayGapsByOccupationalSeriesAndRacialEthnicGroup[[#This Row],[White Male Average Salary]],"")</f>
        <v>0.98338023830546839</v>
      </c>
      <c r="H129" s="10">
        <f>IFERROR(FemalePayGapsByOccupationalSeriesAndRacialEthnicGroup[[#This Row],[AIAN Female Employees]]/I$318,"")</f>
        <v>1.6048632218844984E-2</v>
      </c>
      <c r="I129">
        <v>264</v>
      </c>
      <c r="J129" s="6">
        <v>47782.348484848</v>
      </c>
      <c r="K129" s="52">
        <f>IFERROR(FemalePayGapsByOccupationalSeriesAndRacialEthnicGroup[[#This Row],[AIAN Female Avg Salary]]/FemalePayGapsByOccupationalSeriesAndRacialEthnicGroup[[#This Row],[White Male Average Salary]],"")</f>
        <v>0.93249733785253175</v>
      </c>
      <c r="L129" s="10">
        <f>IFERROR(FemalePayGapsByOccupationalSeriesAndRacialEthnicGroup[[#This Row],[ANHPI Female Employees]]/M$318,"")</f>
        <v>6.3284233496999458E-3</v>
      </c>
      <c r="M129" s="8">
        <v>406</v>
      </c>
      <c r="N129" s="6">
        <v>55732.923456789998</v>
      </c>
      <c r="O129" s="52">
        <f>IFERROR(FemalePayGapsByOccupationalSeriesAndRacialEthnicGroup[[#This Row],[ANHPI Female Avg Salary]]/FemalePayGapsByOccupationalSeriesAndRacialEthnicGroup[[#This Row],[White Male Average Salary]],"")</f>
        <v>1.0876569361314623</v>
      </c>
      <c r="P129" s="10">
        <f>IFERROR(FemalePayGapsByOccupationalSeriesAndRacialEthnicGroup[[#This Row],[Black Female Employees]]/Q$318,"")</f>
        <v>5.0851887935746028E-3</v>
      </c>
      <c r="Q129" s="8">
        <v>1070</v>
      </c>
      <c r="R129" s="6">
        <v>50487.148737137999</v>
      </c>
      <c r="S129" s="52">
        <f>IFERROR(FemalePayGapsByOccupationalSeriesAndRacialEthnicGroup[[#This Row],[Black Female Avg Salary]]/FemalePayGapsByOccupationalSeriesAndRacialEthnicGroup[[#This Row],[White Male Average Salary]],"")</f>
        <v>0.98528291902761955</v>
      </c>
      <c r="T129" s="10">
        <f>IFERROR(FemalePayGapsByOccupationalSeriesAndRacialEthnicGroup[[#This Row],[Hispanic Latino Female Employees]]/U$318,"")</f>
        <v>5.909271531667799E-3</v>
      </c>
      <c r="U129" s="8">
        <v>461</v>
      </c>
      <c r="V129" s="6">
        <v>52248.455531453001</v>
      </c>
      <c r="W129" s="52">
        <f>IFERROR(FemalePayGapsByOccupationalSeriesAndRacialEthnicGroup[[#This Row],[Hispanic Latino Female Avg Salary]]/FemalePayGapsByOccupationalSeriesAndRacialEthnicGroup[[#This Row],[White Male Average Salary]],"")</f>
        <v>1.0196557355366518</v>
      </c>
      <c r="X129" s="10">
        <f>IFERROR(FemalePayGapsByOccupationalSeriesAndRacialEthnicGroup[[#This Row],[Other Female Employees]]/Y$318,"")</f>
        <v>4.6916511220394547E-3</v>
      </c>
      <c r="Y129" s="8">
        <v>83</v>
      </c>
      <c r="Z129" s="6">
        <v>50044.361445782997</v>
      </c>
      <c r="AA129" s="1">
        <f>IFERROR(FemalePayGapsByOccupationalSeriesAndRacialEthnicGroup[[#This Row],[Other Female Avg Salary]]/FemalePayGapsByOccupationalSeriesAndRacialEthnicGroup[[#This Row],[White Male Average Salary]],"")</f>
        <v>0.97664169515486654</v>
      </c>
    </row>
    <row r="130" spans="1:27" ht="15.6" x14ac:dyDescent="0.3">
      <c r="A130" s="45" t="s">
        <v>140</v>
      </c>
      <c r="B130" s="38">
        <v>368</v>
      </c>
      <c r="C130" s="39">
        <v>141480.48641304299</v>
      </c>
      <c r="D130" s="69">
        <f>IFERROR(FemalePayGapsByOccupationalSeriesAndRacialEthnicGroup[[#This Row],[White Female Employees]]/E$318,"")</f>
        <v>9.2661961279129367E-4</v>
      </c>
      <c r="E130" s="67">
        <v>423</v>
      </c>
      <c r="F130" s="64">
        <v>134821.91666666701</v>
      </c>
      <c r="G130" s="72">
        <f>IFERROR(FemalePayGapsByOccupationalSeriesAndRacialEthnicGroup[[#This Row],[White Female Avg Salary]]/FemalePayGapsByOccupationalSeriesAndRacialEthnicGroup[[#This Row],[White Male Average Salary]],"")</f>
        <v>0.95293647968570927</v>
      </c>
      <c r="H130" s="10" t="str">
        <f>IFERROR(FemalePayGapsByOccupationalSeriesAndRacialEthnicGroup[[#This Row],[AIAN Female Employees]]/I$318,"")</f>
        <v/>
      </c>
      <c r="I130" t="s">
        <v>0</v>
      </c>
      <c r="J130" s="6" t="s">
        <v>0</v>
      </c>
      <c r="K130" s="52" t="str">
        <f>IFERROR(FemalePayGapsByOccupationalSeriesAndRacialEthnicGroup[[#This Row],[AIAN Female Avg Salary]]/FemalePayGapsByOccupationalSeriesAndRacialEthnicGroup[[#This Row],[White Male Average Salary]],"")</f>
        <v/>
      </c>
      <c r="L130" s="10">
        <f>IFERROR(FemalePayGapsByOccupationalSeriesAndRacialEthnicGroup[[#This Row],[ANHPI Female Employees]]/M$318,"")</f>
        <v>2.0107552022445639E-3</v>
      </c>
      <c r="M130" s="8">
        <v>129</v>
      </c>
      <c r="N130" s="6">
        <v>133146.45736434101</v>
      </c>
      <c r="O130" s="52">
        <f>IFERROR(FemalePayGapsByOccupationalSeriesAndRacialEthnicGroup[[#This Row],[ANHPI Female Avg Salary]]/FemalePayGapsByOccupationalSeriesAndRacialEthnicGroup[[#This Row],[White Male Average Salary]],"")</f>
        <v>0.9410941447828266</v>
      </c>
      <c r="P130" s="10" t="str">
        <f>IFERROR(FemalePayGapsByOccupationalSeriesAndRacialEthnicGroup[[#This Row],[Black Female Employees]]/Q$318,"")</f>
        <v/>
      </c>
      <c r="Q130" s="8" t="s">
        <v>0</v>
      </c>
      <c r="R130" s="6" t="s">
        <v>0</v>
      </c>
      <c r="S130" s="52" t="str">
        <f>IFERROR(FemalePayGapsByOccupationalSeriesAndRacialEthnicGroup[[#This Row],[Black Female Avg Salary]]/FemalePayGapsByOccupationalSeriesAndRacialEthnicGroup[[#This Row],[White Male Average Salary]],"")</f>
        <v/>
      </c>
      <c r="T130" s="10" t="str">
        <f>IFERROR(FemalePayGapsByOccupationalSeriesAndRacialEthnicGroup[[#This Row],[Hispanic Latino Female Employees]]/U$318,"")</f>
        <v/>
      </c>
      <c r="U130" s="8" t="s">
        <v>0</v>
      </c>
      <c r="V130" s="47" t="s">
        <v>0</v>
      </c>
      <c r="W13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30" s="10" t="str">
        <f>IFERROR(FemalePayGapsByOccupationalSeriesAndRacialEthnicGroup[[#This Row],[Other Female Employees]]/Y$318,"")</f>
        <v/>
      </c>
      <c r="Y130" s="8" t="s">
        <v>0</v>
      </c>
      <c r="Z130" s="6" t="s">
        <v>0</v>
      </c>
      <c r="AA13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31" spans="1:27" ht="15.6" x14ac:dyDescent="0.3">
      <c r="A131" s="46" t="s">
        <v>141</v>
      </c>
      <c r="B131" s="40">
        <v>310</v>
      </c>
      <c r="C131" s="41">
        <v>105622.680645161</v>
      </c>
      <c r="D131" s="70">
        <f>IFERROR(FemalePayGapsByOccupationalSeriesAndRacialEthnicGroup[[#This Row],[White Female Employees]]/E$318,"")</f>
        <v>3.1106379436492602E-3</v>
      </c>
      <c r="E131" s="16">
        <v>1420</v>
      </c>
      <c r="F131" s="17">
        <v>102476.82887323901</v>
      </c>
      <c r="G131" s="18">
        <f>IFERROR(FemalePayGapsByOccupationalSeriesAndRacialEthnicGroup[[#This Row],[White Female Avg Salary]]/FemalePayGapsByOccupationalSeriesAndRacialEthnicGroup[[#This Row],[White Male Average Salary]],"")</f>
        <v>0.97021613395241812</v>
      </c>
      <c r="H131" s="10" t="str">
        <f>IFERROR(FemalePayGapsByOccupationalSeriesAndRacialEthnicGroup[[#This Row],[AIAN Female Employees]]/I$318,"")</f>
        <v/>
      </c>
      <c r="I131" t="s">
        <v>0</v>
      </c>
      <c r="J131" s="6" t="s">
        <v>0</v>
      </c>
      <c r="K131" s="52" t="str">
        <f>IFERROR(FemalePayGapsByOccupationalSeriesAndRacialEthnicGroup[[#This Row],[AIAN Female Avg Salary]]/FemalePayGapsByOccupationalSeriesAndRacialEthnicGroup[[#This Row],[White Male Average Salary]],"")</f>
        <v/>
      </c>
      <c r="L131" s="10" t="str">
        <f>IFERROR(FemalePayGapsByOccupationalSeriesAndRacialEthnicGroup[[#This Row],[ANHPI Female Employees]]/M$318,"")</f>
        <v/>
      </c>
      <c r="M131" s="8" t="s">
        <v>0</v>
      </c>
      <c r="N131" s="6" t="s">
        <v>0</v>
      </c>
      <c r="O131" s="52" t="str">
        <f>IFERROR(FemalePayGapsByOccupationalSeriesAndRacialEthnicGroup[[#This Row],[ANHPI Female Avg Salary]]/FemalePayGapsByOccupationalSeriesAndRacialEthnicGroup[[#This Row],[White Male Average Salary]],"")</f>
        <v/>
      </c>
      <c r="P131" s="10">
        <f>IFERROR(FemalePayGapsByOccupationalSeriesAndRacialEthnicGroup[[#This Row],[Black Female Employees]]/Q$318,"")</f>
        <v>4.8475631490150416E-4</v>
      </c>
      <c r="Q131" s="8">
        <v>102</v>
      </c>
      <c r="R131" s="6">
        <v>101940.03</v>
      </c>
      <c r="S131" s="52">
        <f>IFERROR(FemalePayGapsByOccupationalSeriesAndRacialEthnicGroup[[#This Row],[Black Female Avg Salary]]/FemalePayGapsByOccupationalSeriesAndRacialEthnicGroup[[#This Row],[White Male Average Salary]],"")</f>
        <v>0.96513390284485534</v>
      </c>
      <c r="T131" s="10" t="str">
        <f>IFERROR(FemalePayGapsByOccupationalSeriesAndRacialEthnicGroup[[#This Row],[Hispanic Latino Female Employees]]/U$318,"")</f>
        <v/>
      </c>
      <c r="U131" s="8" t="s">
        <v>0</v>
      </c>
      <c r="V131" s="47" t="s">
        <v>0</v>
      </c>
      <c r="W13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31" s="10" t="str">
        <f>IFERROR(FemalePayGapsByOccupationalSeriesAndRacialEthnicGroup[[#This Row],[Other Female Employees]]/Y$318,"")</f>
        <v/>
      </c>
      <c r="Y131" s="8" t="s">
        <v>0</v>
      </c>
      <c r="Z131" s="6" t="s">
        <v>0</v>
      </c>
      <c r="AA13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32" spans="1:27" ht="15.6" x14ac:dyDescent="0.3">
      <c r="A132" s="45" t="s">
        <v>142</v>
      </c>
      <c r="B132" s="38">
        <v>226</v>
      </c>
      <c r="C132" s="39">
        <v>93766.486725663999</v>
      </c>
      <c r="D132" s="69">
        <f>IFERROR(FemalePayGapsByOccupationalSeriesAndRacialEthnicGroup[[#This Row],[White Female Employees]]/E$318,"")</f>
        <v>1.423883565754943E-4</v>
      </c>
      <c r="E132" s="67">
        <v>65</v>
      </c>
      <c r="F132" s="64">
        <v>85695.107692307996</v>
      </c>
      <c r="G132" s="72">
        <f>IFERROR(FemalePayGapsByOccupationalSeriesAndRacialEthnicGroup[[#This Row],[White Female Avg Salary]]/FemalePayGapsByOccupationalSeriesAndRacialEthnicGroup[[#This Row],[White Male Average Salary]],"")</f>
        <v>0.91392042812726115</v>
      </c>
      <c r="H132" s="10" t="str">
        <f>IFERROR(FemalePayGapsByOccupationalSeriesAndRacialEthnicGroup[[#This Row],[AIAN Female Employees]]/I$318,"")</f>
        <v/>
      </c>
      <c r="I132" t="s">
        <v>0</v>
      </c>
      <c r="J132" s="6" t="s">
        <v>0</v>
      </c>
      <c r="K132" s="52" t="str">
        <f>IFERROR(FemalePayGapsByOccupationalSeriesAndRacialEthnicGroup[[#This Row],[AIAN Female Avg Salary]]/FemalePayGapsByOccupationalSeriesAndRacialEthnicGroup[[#This Row],[White Male Average Salary]],"")</f>
        <v/>
      </c>
      <c r="L132" s="10" t="str">
        <f>IFERROR(FemalePayGapsByOccupationalSeriesAndRacialEthnicGroup[[#This Row],[ANHPI Female Employees]]/M$318,"")</f>
        <v/>
      </c>
      <c r="M132" s="8" t="s">
        <v>0</v>
      </c>
      <c r="N132" s="6" t="s">
        <v>0</v>
      </c>
      <c r="O132" s="52" t="str">
        <f>IFERROR(FemalePayGapsByOccupationalSeriesAndRacialEthnicGroup[[#This Row],[ANHPI Female Avg Salary]]/FemalePayGapsByOccupationalSeriesAndRacialEthnicGroup[[#This Row],[White Male Average Salary]],"")</f>
        <v/>
      </c>
      <c r="P132" s="10" t="str">
        <f>IFERROR(FemalePayGapsByOccupationalSeriesAndRacialEthnicGroup[[#This Row],[Black Female Employees]]/Q$318,"")</f>
        <v/>
      </c>
      <c r="Q132" s="8" t="s">
        <v>0</v>
      </c>
      <c r="R132" s="6" t="s">
        <v>0</v>
      </c>
      <c r="S132" s="52" t="str">
        <f>IFERROR(FemalePayGapsByOccupationalSeriesAndRacialEthnicGroup[[#This Row],[Black Female Avg Salary]]/FemalePayGapsByOccupationalSeriesAndRacialEthnicGroup[[#This Row],[White Male Average Salary]],"")</f>
        <v/>
      </c>
      <c r="T132" s="10" t="str">
        <f>IFERROR(FemalePayGapsByOccupationalSeriesAndRacialEthnicGroup[[#This Row],[Hispanic Latino Female Employees]]/U$318,"")</f>
        <v/>
      </c>
      <c r="U132" s="8" t="s">
        <v>0</v>
      </c>
      <c r="V132" s="47" t="s">
        <v>0</v>
      </c>
      <c r="W13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32" s="10" t="str">
        <f>IFERROR(FemalePayGapsByOccupationalSeriesAndRacialEthnicGroup[[#This Row],[Other Female Employees]]/Y$318,"")</f>
        <v/>
      </c>
      <c r="Y132" s="8" t="s">
        <v>0</v>
      </c>
      <c r="Z132" s="6" t="s">
        <v>0</v>
      </c>
      <c r="AA13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33" spans="1:27" ht="15.6" x14ac:dyDescent="0.3">
      <c r="A133" s="46" t="s">
        <v>143</v>
      </c>
      <c r="B133" s="40">
        <v>263</v>
      </c>
      <c r="C133" s="41">
        <v>197674.43346007599</v>
      </c>
      <c r="D133" s="70">
        <f>IFERROR(FemalePayGapsByOccupationalSeriesAndRacialEthnicGroup[[#This Row],[White Female Employees]]/E$318,"")</f>
        <v>2.8477671315098861E-4</v>
      </c>
      <c r="E133" s="16">
        <v>130</v>
      </c>
      <c r="F133" s="17">
        <v>189826.215384615</v>
      </c>
      <c r="G133" s="18">
        <f>IFERROR(FemalePayGapsByOccupationalSeriesAndRacialEthnicGroup[[#This Row],[White Female Avg Salary]]/FemalePayGapsByOccupationalSeriesAndRacialEthnicGroup[[#This Row],[White Male Average Salary]],"")</f>
        <v>0.96029725271960331</v>
      </c>
      <c r="H133" s="10" t="str">
        <f>IFERROR(FemalePayGapsByOccupationalSeriesAndRacialEthnicGroup[[#This Row],[AIAN Female Employees]]/I$318,"")</f>
        <v/>
      </c>
      <c r="I133" t="s">
        <v>0</v>
      </c>
      <c r="J133" s="6" t="s">
        <v>0</v>
      </c>
      <c r="K133" s="52" t="str">
        <f>IFERROR(FemalePayGapsByOccupationalSeriesAndRacialEthnicGroup[[#This Row],[AIAN Female Avg Salary]]/FemalePayGapsByOccupationalSeriesAndRacialEthnicGroup[[#This Row],[White Male Average Salary]],"")</f>
        <v/>
      </c>
      <c r="L133" s="10" t="str">
        <f>IFERROR(FemalePayGapsByOccupationalSeriesAndRacialEthnicGroup[[#This Row],[ANHPI Female Employees]]/M$318,"")</f>
        <v/>
      </c>
      <c r="M133" s="8" t="s">
        <v>0</v>
      </c>
      <c r="N133" s="6" t="s">
        <v>0</v>
      </c>
      <c r="O133" s="52" t="str">
        <f>IFERROR(FemalePayGapsByOccupationalSeriesAndRacialEthnicGroup[[#This Row],[ANHPI Female Avg Salary]]/FemalePayGapsByOccupationalSeriesAndRacialEthnicGroup[[#This Row],[White Male Average Salary]],"")</f>
        <v/>
      </c>
      <c r="P133" s="10" t="str">
        <f>IFERROR(FemalePayGapsByOccupationalSeriesAndRacialEthnicGroup[[#This Row],[Black Female Employees]]/Q$318,"")</f>
        <v/>
      </c>
      <c r="Q133" s="8" t="s">
        <v>0</v>
      </c>
      <c r="R133" s="6" t="s">
        <v>0</v>
      </c>
      <c r="S133" s="52" t="str">
        <f>IFERROR(FemalePayGapsByOccupationalSeriesAndRacialEthnicGroup[[#This Row],[Black Female Avg Salary]]/FemalePayGapsByOccupationalSeriesAndRacialEthnicGroup[[#This Row],[White Male Average Salary]],"")</f>
        <v/>
      </c>
      <c r="T133" s="10" t="str">
        <f>IFERROR(FemalePayGapsByOccupationalSeriesAndRacialEthnicGroup[[#This Row],[Hispanic Latino Female Employees]]/U$318,"")</f>
        <v/>
      </c>
      <c r="U133" s="8" t="s">
        <v>0</v>
      </c>
      <c r="V133" s="47" t="s">
        <v>0</v>
      </c>
      <c r="W13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33" s="10" t="str">
        <f>IFERROR(FemalePayGapsByOccupationalSeriesAndRacialEthnicGroup[[#This Row],[Other Female Employees]]/Y$318,"")</f>
        <v/>
      </c>
      <c r="Y133" s="8" t="s">
        <v>0</v>
      </c>
      <c r="Z133" s="6" t="s">
        <v>0</v>
      </c>
      <c r="AA13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34" spans="1:27" ht="15.6" x14ac:dyDescent="0.3">
      <c r="A134" s="45" t="s">
        <v>144</v>
      </c>
      <c r="B134" s="38">
        <v>55</v>
      </c>
      <c r="C134" s="39">
        <v>85279.963636364002</v>
      </c>
      <c r="D134" s="69">
        <f>IFERROR(FemalePayGapsByOccupationalSeriesAndRacialEthnicGroup[[#This Row],[White Female Employees]]/E$318,"")</f>
        <v>6.6155821055075817E-4</v>
      </c>
      <c r="E134" s="67">
        <v>302</v>
      </c>
      <c r="F134" s="64">
        <v>86091.807947020003</v>
      </c>
      <c r="G134" s="72">
        <f>IFERROR(FemalePayGapsByOccupationalSeriesAndRacialEthnicGroup[[#This Row],[White Female Avg Salary]]/FemalePayGapsByOccupationalSeriesAndRacialEthnicGroup[[#This Row],[White Male Average Salary]],"")</f>
        <v>1.0095197544187251</v>
      </c>
      <c r="H134" s="10" t="str">
        <f>IFERROR(FemalePayGapsByOccupationalSeriesAndRacialEthnicGroup[[#This Row],[AIAN Female Employees]]/I$318,"")</f>
        <v/>
      </c>
      <c r="I134" t="s">
        <v>0</v>
      </c>
      <c r="J134" s="6" t="s">
        <v>0</v>
      </c>
      <c r="K134" s="52" t="str">
        <f>IFERROR(FemalePayGapsByOccupationalSeriesAndRacialEthnicGroup[[#This Row],[AIAN Female Avg Salary]]/FemalePayGapsByOccupationalSeriesAndRacialEthnicGroup[[#This Row],[White Male Average Salary]],"")</f>
        <v/>
      </c>
      <c r="L134" s="10" t="str">
        <f>IFERROR(FemalePayGapsByOccupationalSeriesAndRacialEthnicGroup[[#This Row],[ANHPI Female Employees]]/M$318,"")</f>
        <v/>
      </c>
      <c r="M134" s="8" t="s">
        <v>0</v>
      </c>
      <c r="N134" s="6" t="s">
        <v>0</v>
      </c>
      <c r="O134" s="52" t="str">
        <f>IFERROR(FemalePayGapsByOccupationalSeriesAndRacialEthnicGroup[[#This Row],[ANHPI Female Avg Salary]]/FemalePayGapsByOccupationalSeriesAndRacialEthnicGroup[[#This Row],[White Male Average Salary]],"")</f>
        <v/>
      </c>
      <c r="P134" s="10">
        <f>IFERROR(FemalePayGapsByOccupationalSeriesAndRacialEthnicGroup[[#This Row],[Black Female Employees]]/Q$318,"")</f>
        <v>7.794121141553597E-4</v>
      </c>
      <c r="Q134" s="8">
        <v>164</v>
      </c>
      <c r="R134" s="6">
        <v>85888.445121950994</v>
      </c>
      <c r="S134" s="52">
        <f>IFERROR(FemalePayGapsByOccupationalSeriesAndRacialEthnicGroup[[#This Row],[Black Female Avg Salary]]/FemalePayGapsByOccupationalSeriesAndRacialEthnicGroup[[#This Row],[White Male Average Salary]],"")</f>
        <v>1.0071351048903066</v>
      </c>
      <c r="T134" s="10" t="str">
        <f>IFERROR(FemalePayGapsByOccupationalSeriesAndRacialEthnicGroup[[#This Row],[Hispanic Latino Female Employees]]/U$318,"")</f>
        <v/>
      </c>
      <c r="U134" s="8" t="s">
        <v>0</v>
      </c>
      <c r="V134" s="47" t="s">
        <v>0</v>
      </c>
      <c r="W13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34" s="10" t="str">
        <f>IFERROR(FemalePayGapsByOccupationalSeriesAndRacialEthnicGroup[[#This Row],[Other Female Employees]]/Y$318,"")</f>
        <v/>
      </c>
      <c r="Y134" s="8" t="s">
        <v>0</v>
      </c>
      <c r="Z134" s="6" t="s">
        <v>0</v>
      </c>
      <c r="AA13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35" spans="1:27" ht="15.6" x14ac:dyDescent="0.3">
      <c r="A135" s="46" t="s">
        <v>145</v>
      </c>
      <c r="B135" s="40">
        <v>293</v>
      </c>
      <c r="C135" s="41">
        <v>147545.38225256</v>
      </c>
      <c r="D135" s="70">
        <f>IFERROR(FemalePayGapsByOccupationalSeriesAndRacialEthnicGroup[[#This Row],[White Female Employees]]/E$318,"")</f>
        <v>4.5126156083925888E-4</v>
      </c>
      <c r="E135" s="16">
        <v>206</v>
      </c>
      <c r="F135" s="17">
        <v>133716.27184465999</v>
      </c>
      <c r="G135" s="18">
        <f>IFERROR(FemalePayGapsByOccupationalSeriesAndRacialEthnicGroup[[#This Row],[White Female Avg Salary]]/FemalePayGapsByOccupationalSeriesAndRacialEthnicGroup[[#This Row],[White Male Average Salary]],"")</f>
        <v>0.90627215710331011</v>
      </c>
      <c r="H135" s="10" t="str">
        <f>IFERROR(FemalePayGapsByOccupationalSeriesAndRacialEthnicGroup[[#This Row],[AIAN Female Employees]]/I$318,"")</f>
        <v/>
      </c>
      <c r="I135" t="s">
        <v>0</v>
      </c>
      <c r="J135" s="6" t="s">
        <v>0</v>
      </c>
      <c r="K135" s="52" t="str">
        <f>IFERROR(FemalePayGapsByOccupationalSeriesAndRacialEthnicGroup[[#This Row],[AIAN Female Avg Salary]]/FemalePayGapsByOccupationalSeriesAndRacialEthnicGroup[[#This Row],[White Male Average Salary]],"")</f>
        <v/>
      </c>
      <c r="L135" s="10" t="str">
        <f>IFERROR(FemalePayGapsByOccupationalSeriesAndRacialEthnicGroup[[#This Row],[ANHPI Female Employees]]/M$318,"")</f>
        <v/>
      </c>
      <c r="M135" s="8" t="s">
        <v>0</v>
      </c>
      <c r="N135" s="6" t="s">
        <v>0</v>
      </c>
      <c r="O135" s="52" t="str">
        <f>IFERROR(FemalePayGapsByOccupationalSeriesAndRacialEthnicGroup[[#This Row],[ANHPI Female Avg Salary]]/FemalePayGapsByOccupationalSeriesAndRacialEthnicGroup[[#This Row],[White Male Average Salary]],"")</f>
        <v/>
      </c>
      <c r="P135" s="10" t="str">
        <f>IFERROR(FemalePayGapsByOccupationalSeriesAndRacialEthnicGroup[[#This Row],[Black Female Employees]]/Q$318,"")</f>
        <v/>
      </c>
      <c r="Q135" s="8" t="s">
        <v>0</v>
      </c>
      <c r="R135" s="6" t="s">
        <v>0</v>
      </c>
      <c r="S135" s="52" t="str">
        <f>IFERROR(FemalePayGapsByOccupationalSeriesAndRacialEthnicGroup[[#This Row],[Black Female Avg Salary]]/FemalePayGapsByOccupationalSeriesAndRacialEthnicGroup[[#This Row],[White Male Average Salary]],"")</f>
        <v/>
      </c>
      <c r="T135" s="10" t="str">
        <f>IFERROR(FemalePayGapsByOccupationalSeriesAndRacialEthnicGroup[[#This Row],[Hispanic Latino Female Employees]]/U$318,"")</f>
        <v/>
      </c>
      <c r="U135" s="8" t="s">
        <v>0</v>
      </c>
      <c r="V135" s="47" t="s">
        <v>0</v>
      </c>
      <c r="W13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35" s="10" t="str">
        <f>IFERROR(FemalePayGapsByOccupationalSeriesAndRacialEthnicGroup[[#This Row],[Other Female Employees]]/Y$318,"")</f>
        <v/>
      </c>
      <c r="Y135" s="8" t="s">
        <v>0</v>
      </c>
      <c r="Z135" s="6" t="s">
        <v>0</v>
      </c>
      <c r="AA13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36" spans="1:27" ht="15.6" x14ac:dyDescent="0.3">
      <c r="A136" s="45" t="s">
        <v>146</v>
      </c>
      <c r="B136" s="38">
        <v>1522</v>
      </c>
      <c r="C136" s="39">
        <v>98519.248026315996</v>
      </c>
      <c r="D136" s="69">
        <f>IFERROR(FemalePayGapsByOccupationalSeriesAndRacialEthnicGroup[[#This Row],[White Female Employees]]/E$318,"")</f>
        <v>5.5860047579616998E-3</v>
      </c>
      <c r="E136" s="67">
        <v>2550</v>
      </c>
      <c r="F136" s="64">
        <v>93262.079607842999</v>
      </c>
      <c r="G136" s="72">
        <f>IFERROR(FemalePayGapsByOccupationalSeriesAndRacialEthnicGroup[[#This Row],[White Female Avg Salary]]/FemalePayGapsByOccupationalSeriesAndRacialEthnicGroup[[#This Row],[White Male Average Salary]],"")</f>
        <v>0.94663815930599948</v>
      </c>
      <c r="H136" s="10">
        <f>IFERROR(FemalePayGapsByOccupationalSeriesAndRacialEthnicGroup[[#This Row],[AIAN Female Employees]]/I$318,"")</f>
        <v>1.2401215805471124E-2</v>
      </c>
      <c r="I136">
        <v>204</v>
      </c>
      <c r="J136" s="6">
        <v>85898.717821782004</v>
      </c>
      <c r="K136" s="52">
        <f>IFERROR(FemalePayGapsByOccupationalSeriesAndRacialEthnicGroup[[#This Row],[AIAN Female Avg Salary]]/FemalePayGapsByOccupationalSeriesAndRacialEthnicGroup[[#This Row],[White Male Average Salary]],"")</f>
        <v>0.87189782243198954</v>
      </c>
      <c r="L136" s="10">
        <f>IFERROR(FemalePayGapsByOccupationalSeriesAndRacialEthnicGroup[[#This Row],[ANHPI Female Employees]]/M$318,"")</f>
        <v>4.2241446496765643E-3</v>
      </c>
      <c r="M136" s="8">
        <v>271</v>
      </c>
      <c r="N136" s="6">
        <v>93511.361623616001</v>
      </c>
      <c r="O136" s="52">
        <f>IFERROR(FemalePayGapsByOccupationalSeriesAndRacialEthnicGroup[[#This Row],[ANHPI Female Avg Salary]]/FemalePayGapsByOccupationalSeriesAndRacialEthnicGroup[[#This Row],[White Male Average Salary]],"")</f>
        <v>0.94916844674492129</v>
      </c>
      <c r="P136" s="10">
        <f>IFERROR(FemalePayGapsByOccupationalSeriesAndRacialEthnicGroup[[#This Row],[Black Female Employees]]/Q$318,"")</f>
        <v>4.7572654040824083E-3</v>
      </c>
      <c r="Q136" s="8">
        <v>1001</v>
      </c>
      <c r="R136" s="6">
        <v>87240.447552447993</v>
      </c>
      <c r="S136" s="52">
        <f>IFERROR(FemalePayGapsByOccupationalSeriesAndRacialEthnicGroup[[#This Row],[Black Female Avg Salary]]/FemalePayGapsByOccupationalSeriesAndRacialEthnicGroup[[#This Row],[White Male Average Salary]],"")</f>
        <v>0.88551678276253931</v>
      </c>
      <c r="T136" s="10">
        <f>IFERROR(FemalePayGapsByOccupationalSeriesAndRacialEthnicGroup[[#This Row],[Hispanic Latino Female Employees]]/U$318,"")</f>
        <v>4.0121518208503714E-3</v>
      </c>
      <c r="U136" s="8">
        <v>313</v>
      </c>
      <c r="V136" s="6">
        <v>85017.325878593998</v>
      </c>
      <c r="W136" s="52">
        <f>IFERROR(FemalePayGapsByOccupationalSeriesAndRacialEthnicGroup[[#This Row],[Hispanic Latino Female Avg Salary]]/FemalePayGapsByOccupationalSeriesAndRacialEthnicGroup[[#This Row],[White Male Average Salary]],"")</f>
        <v>0.86295142910433675</v>
      </c>
      <c r="X136" s="10">
        <f>IFERROR(FemalePayGapsByOccupationalSeriesAndRacialEthnicGroup[[#This Row],[Other Female Employees]]/Y$318,"")</f>
        <v>5.9352212989655755E-3</v>
      </c>
      <c r="Y136" s="8">
        <v>105</v>
      </c>
      <c r="Z136" s="6">
        <v>91497.095238095004</v>
      </c>
      <c r="AA136" s="1">
        <f>IFERROR(FemalePayGapsByOccupationalSeriesAndRacialEthnicGroup[[#This Row],[Other Female Avg Salary]]/FemalePayGapsByOccupationalSeriesAndRacialEthnicGroup[[#This Row],[White Male Average Salary]],"")</f>
        <v>0.92872303708260884</v>
      </c>
    </row>
    <row r="137" spans="1:27" ht="15.6" x14ac:dyDescent="0.3">
      <c r="A137" s="46" t="s">
        <v>147</v>
      </c>
      <c r="B137" s="40">
        <v>200</v>
      </c>
      <c r="C137" s="41">
        <v>86270.085000000006</v>
      </c>
      <c r="D137" s="70">
        <f>IFERROR(FemalePayGapsByOccupationalSeriesAndRacialEthnicGroup[[#This Row],[White Female Employees]]/E$318,"")</f>
        <v>4.7097687174971193E-4</v>
      </c>
      <c r="E137" s="16">
        <v>215</v>
      </c>
      <c r="F137" s="17">
        <v>81708.986046512</v>
      </c>
      <c r="G137" s="18">
        <f>IFERROR(FemalePayGapsByOccupationalSeriesAndRacialEthnicGroup[[#This Row],[White Female Avg Salary]]/FemalePayGapsByOccupationalSeriesAndRacialEthnicGroup[[#This Row],[White Male Average Salary]],"")</f>
        <v>0.94713000510561673</v>
      </c>
      <c r="H137" s="10" t="str">
        <f>IFERROR(FemalePayGapsByOccupationalSeriesAndRacialEthnicGroup[[#This Row],[AIAN Female Employees]]/I$318,"")</f>
        <v/>
      </c>
      <c r="I137" t="s">
        <v>0</v>
      </c>
      <c r="J137" s="6" t="s">
        <v>0</v>
      </c>
      <c r="K137" s="52" t="str">
        <f>IFERROR(FemalePayGapsByOccupationalSeriesAndRacialEthnicGroup[[#This Row],[AIAN Female Avg Salary]]/FemalePayGapsByOccupationalSeriesAndRacialEthnicGroup[[#This Row],[White Male Average Salary]],"")</f>
        <v/>
      </c>
      <c r="L137" s="10" t="str">
        <f>IFERROR(FemalePayGapsByOccupationalSeriesAndRacialEthnicGroup[[#This Row],[ANHPI Female Employees]]/M$318,"")</f>
        <v/>
      </c>
      <c r="M137" s="8" t="s">
        <v>0</v>
      </c>
      <c r="N137" s="6" t="s">
        <v>0</v>
      </c>
      <c r="O137" s="52" t="str">
        <f>IFERROR(FemalePayGapsByOccupationalSeriesAndRacialEthnicGroup[[#This Row],[ANHPI Female Avg Salary]]/FemalePayGapsByOccupationalSeriesAndRacialEthnicGroup[[#This Row],[White Male Average Salary]],"")</f>
        <v/>
      </c>
      <c r="P137" s="10">
        <f>IFERROR(FemalePayGapsByOccupationalSeriesAndRacialEthnicGroup[[#This Row],[Black Female Employees]]/Q$318,"")</f>
        <v>3.9445856996887102E-4</v>
      </c>
      <c r="Q137" s="8">
        <v>83</v>
      </c>
      <c r="R137" s="6">
        <v>81375.361445782997</v>
      </c>
      <c r="S137" s="52">
        <f>IFERROR(FemalePayGapsByOccupationalSeriesAndRacialEthnicGroup[[#This Row],[Black Female Avg Salary]]/FemalePayGapsByOccupationalSeriesAndRacialEthnicGroup[[#This Row],[White Male Average Salary]],"")</f>
        <v>0.94326279434850435</v>
      </c>
      <c r="T137" s="10" t="str">
        <f>IFERROR(FemalePayGapsByOccupationalSeriesAndRacialEthnicGroup[[#This Row],[Hispanic Latino Female Employees]]/U$318,"")</f>
        <v/>
      </c>
      <c r="U137" s="8" t="s">
        <v>0</v>
      </c>
      <c r="V137" s="6" t="s">
        <v>0</v>
      </c>
      <c r="W13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37" s="10" t="str">
        <f>IFERROR(FemalePayGapsByOccupationalSeriesAndRacialEthnicGroup[[#This Row],[Other Female Employees]]/Y$318,"")</f>
        <v/>
      </c>
      <c r="Y137" s="8" t="s">
        <v>0</v>
      </c>
      <c r="Z137" s="6" t="s">
        <v>0</v>
      </c>
      <c r="AA13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38" spans="1:27" ht="15.6" x14ac:dyDescent="0.3">
      <c r="A138" s="45" t="s">
        <v>148</v>
      </c>
      <c r="B138" s="38">
        <v>137</v>
      </c>
      <c r="C138" s="39">
        <v>87551.153284671993</v>
      </c>
      <c r="D138" s="69">
        <f>IFERROR(FemalePayGapsByOccupationalSeriesAndRacialEthnicGroup[[#This Row],[White Female Employees]]/E$318,"")</f>
        <v>5.476475252903627E-5</v>
      </c>
      <c r="E138" s="67">
        <v>25</v>
      </c>
      <c r="F138" s="64">
        <v>85567.48</v>
      </c>
      <c r="G138" s="72">
        <f>IFERROR(FemalePayGapsByOccupationalSeriesAndRacialEthnicGroup[[#This Row],[White Female Avg Salary]]/FemalePayGapsByOccupationalSeriesAndRacialEthnicGroup[[#This Row],[White Male Average Salary]],"")</f>
        <v>0.97734269383954209</v>
      </c>
      <c r="H138" s="10" t="str">
        <f>IFERROR(FemalePayGapsByOccupationalSeriesAndRacialEthnicGroup[[#This Row],[AIAN Female Employees]]/I$318,"")</f>
        <v/>
      </c>
      <c r="I138" t="s">
        <v>0</v>
      </c>
      <c r="J138" s="6" t="s">
        <v>0</v>
      </c>
      <c r="K138" s="52" t="str">
        <f>IFERROR(FemalePayGapsByOccupationalSeriesAndRacialEthnicGroup[[#This Row],[AIAN Female Avg Salary]]/FemalePayGapsByOccupationalSeriesAndRacialEthnicGroup[[#This Row],[White Male Average Salary]],"")</f>
        <v/>
      </c>
      <c r="L138" s="10" t="str">
        <f>IFERROR(FemalePayGapsByOccupationalSeriesAndRacialEthnicGroup[[#This Row],[ANHPI Female Employees]]/M$318,"")</f>
        <v/>
      </c>
      <c r="M138" s="8" t="s">
        <v>0</v>
      </c>
      <c r="N138" s="6" t="s">
        <v>0</v>
      </c>
      <c r="O138" s="52" t="str">
        <f>IFERROR(FemalePayGapsByOccupationalSeriesAndRacialEthnicGroup[[#This Row],[ANHPI Female Avg Salary]]/FemalePayGapsByOccupationalSeriesAndRacialEthnicGroup[[#This Row],[White Male Average Salary]],"")</f>
        <v/>
      </c>
      <c r="P138" s="10">
        <f>IFERROR(FemalePayGapsByOccupationalSeriesAndRacialEthnicGroup[[#This Row],[Black Female Employees]]/Q$318,"")</f>
        <v>1.0455528360620679E-4</v>
      </c>
      <c r="Q138" s="8">
        <v>22</v>
      </c>
      <c r="R138" s="6">
        <v>87654.818181818002</v>
      </c>
      <c r="S138" s="52">
        <f>IFERROR(FemalePayGapsByOccupationalSeriesAndRacialEthnicGroup[[#This Row],[Black Female Avg Salary]]/FemalePayGapsByOccupationalSeriesAndRacialEthnicGroup[[#This Row],[White Male Average Salary]],"")</f>
        <v>1.0011840494757269</v>
      </c>
      <c r="T138" s="10" t="str">
        <f>IFERROR(FemalePayGapsByOccupationalSeriesAndRacialEthnicGroup[[#This Row],[Hispanic Latino Female Employees]]/U$318,"")</f>
        <v/>
      </c>
      <c r="U138" s="8" t="s">
        <v>0</v>
      </c>
      <c r="V138" s="6" t="s">
        <v>0</v>
      </c>
      <c r="W13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38" s="10" t="str">
        <f>IFERROR(FemalePayGapsByOccupationalSeriesAndRacialEthnicGroup[[#This Row],[Other Female Employees]]/Y$318,"")</f>
        <v/>
      </c>
      <c r="Y138" s="8" t="s">
        <v>0</v>
      </c>
      <c r="Z138" s="6" t="s">
        <v>0</v>
      </c>
      <c r="AA13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39" spans="1:27" ht="15.6" x14ac:dyDescent="0.3">
      <c r="A139" s="46" t="s">
        <v>149</v>
      </c>
      <c r="B139" s="40">
        <v>331</v>
      </c>
      <c r="C139" s="41">
        <v>52704.362537763998</v>
      </c>
      <c r="D139" s="70">
        <f>IFERROR(FemalePayGapsByOccupationalSeriesAndRacialEthnicGroup[[#This Row],[White Female Employees]]/E$318,"")</f>
        <v>4.9025406463993268E-3</v>
      </c>
      <c r="E139" s="16">
        <v>2238</v>
      </c>
      <c r="F139" s="17">
        <v>56307.234242289</v>
      </c>
      <c r="G139" s="18">
        <f>IFERROR(FemalePayGapsByOccupationalSeriesAndRacialEthnicGroup[[#This Row],[White Female Avg Salary]]/FemalePayGapsByOccupationalSeriesAndRacialEthnicGroup[[#This Row],[White Male Average Salary]],"")</f>
        <v>1.0683600281085546</v>
      </c>
      <c r="H139" s="10">
        <f>IFERROR(FemalePayGapsByOccupationalSeriesAndRacialEthnicGroup[[#This Row],[AIAN Female Employees]]/I$318,"")</f>
        <v>3.7568389057750763E-2</v>
      </c>
      <c r="I139">
        <v>618</v>
      </c>
      <c r="J139" s="6">
        <v>50840.404530744003</v>
      </c>
      <c r="K139" s="52">
        <f>IFERROR(FemalePayGapsByOccupationalSeriesAndRacialEthnicGroup[[#This Row],[AIAN Female Avg Salary]]/FemalePayGapsByOccupationalSeriesAndRacialEthnicGroup[[#This Row],[White Male Average Salary]],"")</f>
        <v>0.96463370549858329</v>
      </c>
      <c r="L139" s="10">
        <f>IFERROR(FemalePayGapsByOccupationalSeriesAndRacialEthnicGroup[[#This Row],[ANHPI Female Employees]]/M$318,"")</f>
        <v>4.5514768919024239E-3</v>
      </c>
      <c r="M139" s="8">
        <v>292</v>
      </c>
      <c r="N139" s="6">
        <v>56213.452054795001</v>
      </c>
      <c r="O139" s="52">
        <f>IFERROR(FemalePayGapsByOccupationalSeriesAndRacialEthnicGroup[[#This Row],[ANHPI Female Avg Salary]]/FemalePayGapsByOccupationalSeriesAndRacialEthnicGroup[[#This Row],[White Male Average Salary]],"")</f>
        <v>1.0665806272586382</v>
      </c>
      <c r="P139" s="10">
        <f>IFERROR(FemalePayGapsByOccupationalSeriesAndRacialEthnicGroup[[#This Row],[Black Female Employees]]/Q$318,"")</f>
        <v>5.2182591545279567E-3</v>
      </c>
      <c r="Q139" s="8">
        <v>1098</v>
      </c>
      <c r="R139" s="6">
        <v>55821.043000915</v>
      </c>
      <c r="S139" s="52">
        <f>IFERROR(FemalePayGapsByOccupationalSeriesAndRacialEthnicGroup[[#This Row],[Black Female Avg Salary]]/FemalePayGapsByOccupationalSeriesAndRacialEthnicGroup[[#This Row],[White Male Average Salary]],"")</f>
        <v>1.0591351514956246</v>
      </c>
      <c r="T139" s="10">
        <f>IFERROR(FemalePayGapsByOccupationalSeriesAndRacialEthnicGroup[[#This Row],[Hispanic Latino Female Employees]]/U$318,"")</f>
        <v>3.8711496801815083E-3</v>
      </c>
      <c r="U139" s="8">
        <v>302</v>
      </c>
      <c r="V139" s="6">
        <v>54925.407284768</v>
      </c>
      <c r="W139" s="52">
        <f>IFERROR(FemalePayGapsByOccupationalSeriesAndRacialEthnicGroup[[#This Row],[Hispanic Latino Female Avg Salary]]/FemalePayGapsByOccupationalSeriesAndRacialEthnicGroup[[#This Row],[White Male Average Salary]],"")</f>
        <v>1.0421415731081571</v>
      </c>
      <c r="X139" s="10" t="str">
        <f>IFERROR(FemalePayGapsByOccupationalSeriesAndRacialEthnicGroup[[#This Row],[Other Female Employees]]/Y$318,"")</f>
        <v/>
      </c>
      <c r="Y139" s="8" t="s">
        <v>0</v>
      </c>
      <c r="Z139" s="6" t="s">
        <v>0</v>
      </c>
      <c r="AA13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40" spans="1:27" ht="15.6" x14ac:dyDescent="0.3">
      <c r="A140" s="45" t="s">
        <v>150</v>
      </c>
      <c r="B140" s="38">
        <v>2937</v>
      </c>
      <c r="C140" s="39">
        <v>47060.867030344001</v>
      </c>
      <c r="D140" s="69">
        <f>IFERROR(FemalePayGapsByOccupationalSeriesAndRacialEthnicGroup[[#This Row],[White Female Employees]]/E$318,"")</f>
        <v>2.9281617882225115E-2</v>
      </c>
      <c r="E140" s="67">
        <v>13367</v>
      </c>
      <c r="F140" s="64">
        <v>45731.995507637002</v>
      </c>
      <c r="G140" s="72">
        <f>IFERROR(FemalePayGapsByOccupationalSeriesAndRacialEthnicGroup[[#This Row],[White Female Avg Salary]]/FemalePayGapsByOccupationalSeriesAndRacialEthnicGroup[[#This Row],[White Male Average Salary]],"")</f>
        <v>0.97176270632986494</v>
      </c>
      <c r="H140" s="10">
        <f>IFERROR(FemalePayGapsByOccupationalSeriesAndRacialEthnicGroup[[#This Row],[AIAN Female Employees]]/I$318,"")</f>
        <v>8.0790273556231001E-2</v>
      </c>
      <c r="I140">
        <v>1329</v>
      </c>
      <c r="J140" s="6">
        <v>44783.604213694998</v>
      </c>
      <c r="K140" s="52">
        <f>IFERROR(FemalePayGapsByOccupationalSeriesAndRacialEthnicGroup[[#This Row],[AIAN Female Avg Salary]]/FemalePayGapsByOccupationalSeriesAndRacialEthnicGroup[[#This Row],[White Male Average Salary]],"")</f>
        <v>0.95161026644110347</v>
      </c>
      <c r="L140" s="10">
        <f>IFERROR(FemalePayGapsByOccupationalSeriesAndRacialEthnicGroup[[#This Row],[ANHPI Female Employees]]/M$318,"")</f>
        <v>2.0294599018003272E-2</v>
      </c>
      <c r="M140" s="8">
        <v>1302</v>
      </c>
      <c r="N140" s="6">
        <v>48741.248461538002</v>
      </c>
      <c r="O140" s="52">
        <f>IFERROR(FemalePayGapsByOccupationalSeriesAndRacialEthnicGroup[[#This Row],[ANHPI Female Avg Salary]]/FemalePayGapsByOccupationalSeriesAndRacialEthnicGroup[[#This Row],[White Male Average Salary]],"")</f>
        <v>1.0357065548773363</v>
      </c>
      <c r="P140" s="10">
        <f>IFERROR(FemalePayGapsByOccupationalSeriesAndRacialEthnicGroup[[#This Row],[Black Female Employees]]/Q$318,"")</f>
        <v>5.4421025117030633E-2</v>
      </c>
      <c r="Q140" s="8">
        <v>11451</v>
      </c>
      <c r="R140" s="6">
        <v>46555.953301267997</v>
      </c>
      <c r="S140" s="52">
        <f>IFERROR(FemalePayGapsByOccupationalSeriesAndRacialEthnicGroup[[#This Row],[Black Female Avg Salary]]/FemalePayGapsByOccupationalSeriesAndRacialEthnicGroup[[#This Row],[White Male Average Salary]],"")</f>
        <v>0.98927104915533226</v>
      </c>
      <c r="T140" s="10">
        <f>IFERROR(FemalePayGapsByOccupationalSeriesAndRacialEthnicGroup[[#This Row],[Hispanic Latino Female Employees]]/U$318,"")</f>
        <v>2.9648904669734532E-2</v>
      </c>
      <c r="U140" s="8">
        <v>2313</v>
      </c>
      <c r="V140" s="6">
        <v>46397.127217654997</v>
      </c>
      <c r="W140" s="52">
        <f>IFERROR(FemalePayGapsByOccupationalSeriesAndRacialEthnicGroup[[#This Row],[Hispanic Latino Female Avg Salary]]/FemalePayGapsByOccupationalSeriesAndRacialEthnicGroup[[#This Row],[White Male Average Salary]],"")</f>
        <v>0.98589614143188142</v>
      </c>
      <c r="X140" s="10">
        <f>IFERROR(FemalePayGapsByOccupationalSeriesAndRacialEthnicGroup[[#This Row],[Other Female Employees]]/Y$318,"")</f>
        <v>2.4362670284325365E-2</v>
      </c>
      <c r="Y140" s="8">
        <v>431</v>
      </c>
      <c r="Z140" s="6">
        <v>45857.781902552</v>
      </c>
      <c r="AA140" s="1">
        <f>IFERROR(FemalePayGapsByOccupationalSeriesAndRacialEthnicGroup[[#This Row],[Other Female Avg Salary]]/FemalePayGapsByOccupationalSeriesAndRacialEthnicGroup[[#This Row],[White Male Average Salary]],"")</f>
        <v>0.97443555115513969</v>
      </c>
    </row>
    <row r="141" spans="1:27" ht="15.6" x14ac:dyDescent="0.3">
      <c r="A141" s="46" t="s">
        <v>151</v>
      </c>
      <c r="B141" s="40">
        <v>700</v>
      </c>
      <c r="C141" s="41">
        <v>219628.45142857099</v>
      </c>
      <c r="D141" s="70">
        <f>IFERROR(FemalePayGapsByOccupationalSeriesAndRacialEthnicGroup[[#This Row],[White Female Employees]]/E$318,"")</f>
        <v>7.2289473338327877E-4</v>
      </c>
      <c r="E141" s="16">
        <v>330</v>
      </c>
      <c r="F141" s="17">
        <v>213399.56363636401</v>
      </c>
      <c r="G141" s="18">
        <f>IFERROR(FemalePayGapsByOccupationalSeriesAndRacialEthnicGroup[[#This Row],[White Female Avg Salary]]/FemalePayGapsByOccupationalSeriesAndRacialEthnicGroup[[#This Row],[White Male Average Salary]],"")</f>
        <v>0.97163897595374715</v>
      </c>
      <c r="H141" s="10" t="str">
        <f>IFERROR(FemalePayGapsByOccupationalSeriesAndRacialEthnicGroup[[#This Row],[AIAN Female Employees]]/I$318,"")</f>
        <v/>
      </c>
      <c r="I141" t="s">
        <v>0</v>
      </c>
      <c r="J141" s="6" t="s">
        <v>0</v>
      </c>
      <c r="K141" s="52" t="str">
        <f>IFERROR(FemalePayGapsByOccupationalSeriesAndRacialEthnicGroup[[#This Row],[AIAN Female Avg Salary]]/FemalePayGapsByOccupationalSeriesAndRacialEthnicGroup[[#This Row],[White Male Average Salary]],"")</f>
        <v/>
      </c>
      <c r="L141" s="10">
        <f>IFERROR(FemalePayGapsByOccupationalSeriesAndRacialEthnicGroup[[#This Row],[ANHPI Female Employees]]/M$318,"")</f>
        <v>2.0107552022445639E-3</v>
      </c>
      <c r="M141" s="8">
        <v>129</v>
      </c>
      <c r="N141" s="6">
        <v>210342.20155038801</v>
      </c>
      <c r="O141" s="52">
        <f>IFERROR(FemalePayGapsByOccupationalSeriesAndRacialEthnicGroup[[#This Row],[ANHPI Female Avg Salary]]/FemalePayGapsByOccupationalSeriesAndRacialEthnicGroup[[#This Row],[White Male Average Salary]],"")</f>
        <v>0.95771836564078716</v>
      </c>
      <c r="P141" s="10">
        <f>IFERROR(FemalePayGapsByOccupationalSeriesAndRacialEthnicGroup[[#This Row],[Black Female Employees]]/Q$318,"")</f>
        <v>2.6614072190670818E-4</v>
      </c>
      <c r="Q141" s="8">
        <v>56</v>
      </c>
      <c r="R141" s="6">
        <v>204687.535714286</v>
      </c>
      <c r="S141" s="52">
        <f>IFERROR(FemalePayGapsByOccupationalSeriesAndRacialEthnicGroup[[#This Row],[Black Female Avg Salary]]/FemalePayGapsByOccupationalSeriesAndRacialEthnicGroup[[#This Row],[White Male Average Salary]],"")</f>
        <v>0.93197185693792428</v>
      </c>
      <c r="T141" s="10">
        <f>IFERROR(FemalePayGapsByOccupationalSeriesAndRacialEthnicGroup[[#This Row],[Hispanic Latino Female Employees]]/U$318,"")</f>
        <v>5.7682693909989356E-4</v>
      </c>
      <c r="U141" s="8">
        <v>45</v>
      </c>
      <c r="V141" s="6">
        <v>211129.64444444401</v>
      </c>
      <c r="W141" s="52">
        <f>IFERROR(FemalePayGapsByOccupationalSeriesAndRacialEthnicGroup[[#This Row],[Hispanic Latino Female Avg Salary]]/FemalePayGapsByOccupationalSeriesAndRacialEthnicGroup[[#This Row],[White Male Average Salary]],"")</f>
        <v>0.96130370665163567</v>
      </c>
      <c r="X141" s="10" t="str">
        <f>IFERROR(FemalePayGapsByOccupationalSeriesAndRacialEthnicGroup[[#This Row],[Other Female Employees]]/Y$318,"")</f>
        <v/>
      </c>
      <c r="Y141" s="8" t="s">
        <v>0</v>
      </c>
      <c r="Z141" s="6" t="s">
        <v>0</v>
      </c>
      <c r="AA14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42" spans="1:27" ht="15.6" x14ac:dyDescent="0.3">
      <c r="A142" s="45" t="s">
        <v>152</v>
      </c>
      <c r="B142" s="38">
        <v>60</v>
      </c>
      <c r="C142" s="39">
        <v>49504.966666667002</v>
      </c>
      <c r="D142" s="69">
        <f>IFERROR(FemalePayGapsByOccupationalSeriesAndRacialEthnicGroup[[#This Row],[White Female Employees]]/E$318,"")</f>
        <v>3.3056004626526294E-3</v>
      </c>
      <c r="E142" s="67">
        <v>1509</v>
      </c>
      <c r="F142" s="64">
        <v>47413.781830239001</v>
      </c>
      <c r="G142" s="72">
        <f>IFERROR(FemalePayGapsByOccupationalSeriesAndRacialEthnicGroup[[#This Row],[White Female Avg Salary]]/FemalePayGapsByOccupationalSeriesAndRacialEthnicGroup[[#This Row],[White Male Average Salary]],"")</f>
        <v>0.95775808010318186</v>
      </c>
      <c r="H142" s="10">
        <f>IFERROR(FemalePayGapsByOccupationalSeriesAndRacialEthnicGroup[[#This Row],[AIAN Female Employees]]/I$318,"")</f>
        <v>2.3221884498480245E-2</v>
      </c>
      <c r="I142">
        <v>382</v>
      </c>
      <c r="J142" s="6">
        <v>45324.408376963002</v>
      </c>
      <c r="K142" s="52">
        <f>IFERROR(FemalePayGapsByOccupationalSeriesAndRacialEthnicGroup[[#This Row],[AIAN Female Avg Salary]]/FemalePayGapsByOccupationalSeriesAndRacialEthnicGroup[[#This Row],[White Male Average Salary]],"")</f>
        <v>0.91555275013408144</v>
      </c>
      <c r="L142" s="10">
        <f>IFERROR(FemalePayGapsByOccupationalSeriesAndRacialEthnicGroup[[#This Row],[ANHPI Female Employees]]/M$318,"")</f>
        <v>4.8476346348686776E-3</v>
      </c>
      <c r="M142" s="8">
        <v>311</v>
      </c>
      <c r="N142" s="6">
        <v>50033.726688103001</v>
      </c>
      <c r="O142" s="52">
        <f>IFERROR(FemalePayGapsByOccupationalSeriesAndRacialEthnicGroup[[#This Row],[ANHPI Female Avg Salary]]/FemalePayGapsByOccupationalSeriesAndRacialEthnicGroup[[#This Row],[White Male Average Salary]],"")</f>
        <v>1.010680948943897</v>
      </c>
      <c r="P142" s="10">
        <f>IFERROR(FemalePayGapsByOccupationalSeriesAndRacialEthnicGroup[[#This Row],[Black Female Employees]]/Q$318,"")</f>
        <v>2.5711094741344485E-3</v>
      </c>
      <c r="Q142" s="8">
        <v>541</v>
      </c>
      <c r="R142" s="6">
        <v>48422.364814815002</v>
      </c>
      <c r="S142" s="52">
        <f>IFERROR(FemalePayGapsByOccupationalSeriesAndRacialEthnicGroup[[#This Row],[Black Female Avg Salary]]/FemalePayGapsByOccupationalSeriesAndRacialEthnicGroup[[#This Row],[White Male Average Salary]],"")</f>
        <v>0.97813144973631616</v>
      </c>
      <c r="T142" s="10">
        <f>IFERROR(FemalePayGapsByOccupationalSeriesAndRacialEthnicGroup[[#This Row],[Hispanic Latino Female Employees]]/U$318,"")</f>
        <v>5.7939061438478205E-3</v>
      </c>
      <c r="U142" s="8">
        <v>452</v>
      </c>
      <c r="V142" s="6">
        <v>48049.081858407</v>
      </c>
      <c r="W142" s="52">
        <f>IFERROR(FemalePayGapsByOccupationalSeriesAndRacialEthnicGroup[[#This Row],[Hispanic Latino Female Avg Salary]]/FemalePayGapsByOccupationalSeriesAndRacialEthnicGroup[[#This Row],[White Male Average Salary]],"")</f>
        <v>0.97059113648004358</v>
      </c>
      <c r="X142" s="10" t="str">
        <f>IFERROR(FemalePayGapsByOccupationalSeriesAndRacialEthnicGroup[[#This Row],[Other Female Employees]]/Y$318,"")</f>
        <v/>
      </c>
      <c r="Y142" s="8" t="s">
        <v>0</v>
      </c>
      <c r="Z142" s="6" t="s">
        <v>0</v>
      </c>
      <c r="AA14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43" spans="1:27" ht="15.6" x14ac:dyDescent="0.3">
      <c r="A143" s="46" t="s">
        <v>153</v>
      </c>
      <c r="B143" s="40">
        <v>27</v>
      </c>
      <c r="C143" s="41">
        <v>70290.814814815007</v>
      </c>
      <c r="D143" s="70">
        <f>IFERROR(FemalePayGapsByOccupationalSeriesAndRacialEthnicGroup[[#This Row],[White Female Employees]]/E$318,"")</f>
        <v>1.1916810150318293E-3</v>
      </c>
      <c r="E143" s="16">
        <v>544</v>
      </c>
      <c r="F143" s="17">
        <v>69619.597426470995</v>
      </c>
      <c r="G143" s="18">
        <f>IFERROR(FemalePayGapsByOccupationalSeriesAndRacialEthnicGroup[[#This Row],[White Female Avg Salary]]/FemalePayGapsByOccupationalSeriesAndRacialEthnicGroup[[#This Row],[White Male Average Salary]],"")</f>
        <v>0.9904508520763009</v>
      </c>
      <c r="H143" s="10" t="str">
        <f>IFERROR(FemalePayGapsByOccupationalSeriesAndRacialEthnicGroup[[#This Row],[AIAN Female Employees]]/I$318,"")</f>
        <v/>
      </c>
      <c r="I143" t="s">
        <v>0</v>
      </c>
      <c r="J143" s="6" t="s">
        <v>0</v>
      </c>
      <c r="K143" s="52" t="str">
        <f>IFERROR(FemalePayGapsByOccupationalSeriesAndRacialEthnicGroup[[#This Row],[AIAN Female Avg Salary]]/FemalePayGapsByOccupationalSeriesAndRacialEthnicGroup[[#This Row],[White Male Average Salary]],"")</f>
        <v/>
      </c>
      <c r="L143" s="10" t="str">
        <f>IFERROR(FemalePayGapsByOccupationalSeriesAndRacialEthnicGroup[[#This Row],[ANHPI Female Employees]]/M$318,"")</f>
        <v/>
      </c>
      <c r="M143" s="8" t="s">
        <v>0</v>
      </c>
      <c r="N143" s="6" t="s">
        <v>0</v>
      </c>
      <c r="O143" s="52" t="str">
        <f>IFERROR(FemalePayGapsByOccupationalSeriesAndRacialEthnicGroup[[#This Row],[ANHPI Female Avg Salary]]/FemalePayGapsByOccupationalSeriesAndRacialEthnicGroup[[#This Row],[White Male Average Salary]],"")</f>
        <v/>
      </c>
      <c r="P143" s="10" t="str">
        <f>IFERROR(FemalePayGapsByOccupationalSeriesAndRacialEthnicGroup[[#This Row],[Black Female Employees]]/Q$318,"")</f>
        <v/>
      </c>
      <c r="Q143" s="8" t="s">
        <v>0</v>
      </c>
      <c r="R143" s="6" t="s">
        <v>0</v>
      </c>
      <c r="S143" s="52" t="str">
        <f>IFERROR(FemalePayGapsByOccupationalSeriesAndRacialEthnicGroup[[#This Row],[Black Female Avg Salary]]/FemalePayGapsByOccupationalSeriesAndRacialEthnicGroup[[#This Row],[White Male Average Salary]],"")</f>
        <v/>
      </c>
      <c r="T143" s="10" t="str">
        <f>IFERROR(FemalePayGapsByOccupationalSeriesAndRacialEthnicGroup[[#This Row],[Hispanic Latino Female Employees]]/U$318,"")</f>
        <v/>
      </c>
      <c r="U143" s="8" t="s">
        <v>0</v>
      </c>
      <c r="V143" s="6" t="s">
        <v>0</v>
      </c>
      <c r="W14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43" s="10" t="str">
        <f>IFERROR(FemalePayGapsByOccupationalSeriesAndRacialEthnicGroup[[#This Row],[Other Female Employees]]/Y$318,"")</f>
        <v/>
      </c>
      <c r="Y143" s="8" t="s">
        <v>0</v>
      </c>
      <c r="Z143" s="6" t="s">
        <v>0</v>
      </c>
      <c r="AA14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44" spans="1:27" ht="15.6" x14ac:dyDescent="0.3">
      <c r="A144" s="45" t="s">
        <v>154</v>
      </c>
      <c r="B144" s="38">
        <v>203</v>
      </c>
      <c r="C144" s="39">
        <v>65626.089108910994</v>
      </c>
      <c r="D144" s="69">
        <f>IFERROR(FemalePayGapsByOccupationalSeriesAndRacialEthnicGroup[[#This Row],[White Female Employees]]/E$318,"")</f>
        <v>1.5772248728362445E-4</v>
      </c>
      <c r="E144" s="67">
        <v>72</v>
      </c>
      <c r="F144" s="64">
        <v>61707.013888889</v>
      </c>
      <c r="G144" s="72">
        <f>IFERROR(FemalePayGapsByOccupationalSeriesAndRacialEthnicGroup[[#This Row],[White Female Avg Salary]]/FemalePayGapsByOccupationalSeriesAndRacialEthnicGroup[[#This Row],[White Male Average Salary]],"")</f>
        <v>0.94028174963286293</v>
      </c>
      <c r="H144" s="10" t="str">
        <f>IFERROR(FemalePayGapsByOccupationalSeriesAndRacialEthnicGroup[[#This Row],[AIAN Female Employees]]/I$318,"")</f>
        <v/>
      </c>
      <c r="I144" t="s">
        <v>0</v>
      </c>
      <c r="J144" s="6" t="s">
        <v>0</v>
      </c>
      <c r="K144" s="52" t="str">
        <f>IFERROR(FemalePayGapsByOccupationalSeriesAndRacialEthnicGroup[[#This Row],[AIAN Female Avg Salary]]/FemalePayGapsByOccupationalSeriesAndRacialEthnicGroup[[#This Row],[White Male Average Salary]],"")</f>
        <v/>
      </c>
      <c r="L144" s="10" t="str">
        <f>IFERROR(FemalePayGapsByOccupationalSeriesAndRacialEthnicGroup[[#This Row],[ANHPI Female Employees]]/M$318,"")</f>
        <v/>
      </c>
      <c r="M144" s="8" t="s">
        <v>0</v>
      </c>
      <c r="N144" s="6" t="s">
        <v>0</v>
      </c>
      <c r="O144" s="52" t="str">
        <f>IFERROR(FemalePayGapsByOccupationalSeriesAndRacialEthnicGroup[[#This Row],[ANHPI Female Avg Salary]]/FemalePayGapsByOccupationalSeriesAndRacialEthnicGroup[[#This Row],[White Male Average Salary]],"")</f>
        <v/>
      </c>
      <c r="P144" s="10" t="str">
        <f>IFERROR(FemalePayGapsByOccupationalSeriesAndRacialEthnicGroup[[#This Row],[Black Female Employees]]/Q$318,"")</f>
        <v/>
      </c>
      <c r="Q144" s="8" t="s">
        <v>0</v>
      </c>
      <c r="R144" s="6" t="s">
        <v>0</v>
      </c>
      <c r="S144" s="52" t="str">
        <f>IFERROR(FemalePayGapsByOccupationalSeriesAndRacialEthnicGroup[[#This Row],[Black Female Avg Salary]]/FemalePayGapsByOccupationalSeriesAndRacialEthnicGroup[[#This Row],[White Male Average Salary]],"")</f>
        <v/>
      </c>
      <c r="T144" s="10" t="str">
        <f>IFERROR(FemalePayGapsByOccupationalSeriesAndRacialEthnicGroup[[#This Row],[Hispanic Latino Female Employees]]/U$318,"")</f>
        <v/>
      </c>
      <c r="U144" s="8" t="s">
        <v>0</v>
      </c>
      <c r="V144" s="6" t="s">
        <v>0</v>
      </c>
      <c r="W14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44" s="10" t="str">
        <f>IFERROR(FemalePayGapsByOccupationalSeriesAndRacialEthnicGroup[[#This Row],[Other Female Employees]]/Y$318,"")</f>
        <v/>
      </c>
      <c r="Y144" s="8" t="s">
        <v>0</v>
      </c>
      <c r="Z144" s="6" t="s">
        <v>0</v>
      </c>
      <c r="AA14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45" spans="1:27" ht="15.6" x14ac:dyDescent="0.3">
      <c r="A145" s="46" t="s">
        <v>155</v>
      </c>
      <c r="B145" s="40">
        <v>495</v>
      </c>
      <c r="C145" s="41">
        <v>127208.597165992</v>
      </c>
      <c r="D145" s="70">
        <f>IFERROR(FemalePayGapsByOccupationalSeriesAndRacialEthnicGroup[[#This Row],[White Female Employees]]/E$318,"")</f>
        <v>3.0383484703109323E-3</v>
      </c>
      <c r="E145" s="16">
        <v>1387</v>
      </c>
      <c r="F145" s="17">
        <v>119587.81687094401</v>
      </c>
      <c r="G145" s="18">
        <f>IFERROR(FemalePayGapsByOccupationalSeriesAndRacialEthnicGroup[[#This Row],[White Female Avg Salary]]/FemalePayGapsByOccupationalSeriesAndRacialEthnicGroup[[#This Row],[White Male Average Salary]],"")</f>
        <v>0.94009225425932663</v>
      </c>
      <c r="H145" s="10" t="str">
        <f>IFERROR(FemalePayGapsByOccupationalSeriesAndRacialEthnicGroup[[#This Row],[AIAN Female Employees]]/I$318,"")</f>
        <v/>
      </c>
      <c r="I145" t="s">
        <v>0</v>
      </c>
      <c r="J145" s="6" t="s">
        <v>0</v>
      </c>
      <c r="K145" s="52" t="str">
        <f>IFERROR(FemalePayGapsByOccupationalSeriesAndRacialEthnicGroup[[#This Row],[AIAN Female Avg Salary]]/FemalePayGapsByOccupationalSeriesAndRacialEthnicGroup[[#This Row],[White Male Average Salary]],"")</f>
        <v/>
      </c>
      <c r="L145" s="10">
        <f>IFERROR(FemalePayGapsByOccupationalSeriesAndRacialEthnicGroup[[#This Row],[ANHPI Female Employees]]/M$318,"")</f>
        <v>4.3020808978255784E-3</v>
      </c>
      <c r="M145" s="8">
        <v>276</v>
      </c>
      <c r="N145" s="6">
        <v>114253.83333333299</v>
      </c>
      <c r="O145" s="52">
        <f>IFERROR(FemalePayGapsByOccupationalSeriesAndRacialEthnicGroup[[#This Row],[ANHPI Female Avg Salary]]/FemalePayGapsByOccupationalSeriesAndRacialEthnicGroup[[#This Row],[White Male Average Salary]],"")</f>
        <v>0.89816125543972003</v>
      </c>
      <c r="P145" s="10">
        <f>IFERROR(FemalePayGapsByOccupationalSeriesAndRacialEthnicGroup[[#This Row],[Black Female Employees]]/Q$318,"")</f>
        <v>5.5746976213672979E-3</v>
      </c>
      <c r="Q145" s="8">
        <v>1173</v>
      </c>
      <c r="R145" s="6">
        <v>117115.46035805601</v>
      </c>
      <c r="S145" s="52">
        <f>IFERROR(FemalePayGapsByOccupationalSeriesAndRacialEthnicGroup[[#This Row],[Black Female Avg Salary]]/FemalePayGapsByOccupationalSeriesAndRacialEthnicGroup[[#This Row],[White Male Average Salary]],"")</f>
        <v>0.92065680281997242</v>
      </c>
      <c r="T145" s="10">
        <f>IFERROR(FemalePayGapsByOccupationalSeriesAndRacialEthnicGroup[[#This Row],[Hispanic Latino Female Employees]]/U$318,"")</f>
        <v>1.6151154294797021E-3</v>
      </c>
      <c r="U145" s="8">
        <v>126</v>
      </c>
      <c r="V145" s="6">
        <v>118897.84</v>
      </c>
      <c r="W145" s="52">
        <f>IFERROR(FemalePayGapsByOccupationalSeriesAndRacialEthnicGroup[[#This Row],[Hispanic Latino Female Avg Salary]]/FemalePayGapsByOccupationalSeriesAndRacialEthnicGroup[[#This Row],[White Male Average Salary]],"")</f>
        <v>0.93466827438441558</v>
      </c>
      <c r="X145" s="10" t="str">
        <f>IFERROR(FemalePayGapsByOccupationalSeriesAndRacialEthnicGroup[[#This Row],[Other Female Employees]]/Y$318,"")</f>
        <v/>
      </c>
      <c r="Y145" s="8" t="s">
        <v>0</v>
      </c>
      <c r="Z145" s="6" t="s">
        <v>0</v>
      </c>
      <c r="AA14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46" spans="1:27" ht="15.6" x14ac:dyDescent="0.3">
      <c r="A146" s="45" t="s">
        <v>156</v>
      </c>
      <c r="B146" s="38">
        <v>679</v>
      </c>
      <c r="C146" s="39">
        <v>105032.111929308</v>
      </c>
      <c r="D146" s="69">
        <f>IFERROR(FemalePayGapsByOccupationalSeriesAndRacialEthnicGroup[[#This Row],[White Female Employees]]/E$318,"")</f>
        <v>8.69664270161096E-4</v>
      </c>
      <c r="E146" s="67">
        <v>397</v>
      </c>
      <c r="F146" s="64">
        <v>102070.914357683</v>
      </c>
      <c r="G146" s="72">
        <f>IFERROR(FemalePayGapsByOccupationalSeriesAndRacialEthnicGroup[[#This Row],[White Female Avg Salary]]/FemalePayGapsByOccupationalSeriesAndRacialEthnicGroup[[#This Row],[White Male Average Salary]],"")</f>
        <v>0.97180674065072559</v>
      </c>
      <c r="H146" s="10" t="str">
        <f>IFERROR(FemalePayGapsByOccupationalSeriesAndRacialEthnicGroup[[#This Row],[AIAN Female Employees]]/I$318,"")</f>
        <v/>
      </c>
      <c r="I146" t="s">
        <v>0</v>
      </c>
      <c r="J146" s="6" t="s">
        <v>0</v>
      </c>
      <c r="K146" s="52" t="str">
        <f>IFERROR(FemalePayGapsByOccupationalSeriesAndRacialEthnicGroup[[#This Row],[AIAN Female Avg Salary]]/FemalePayGapsByOccupationalSeriesAndRacialEthnicGroup[[#This Row],[White Male Average Salary]],"")</f>
        <v/>
      </c>
      <c r="L146" s="10">
        <f>IFERROR(FemalePayGapsByOccupationalSeriesAndRacialEthnicGroup[[#This Row],[ANHPI Female Employees]]/M$318,"")</f>
        <v>5.9231548593250717E-4</v>
      </c>
      <c r="M146" s="8">
        <v>38</v>
      </c>
      <c r="N146" s="6">
        <v>96996.973684211</v>
      </c>
      <c r="O146" s="52">
        <f>IFERROR(FemalePayGapsByOccupationalSeriesAndRacialEthnicGroup[[#This Row],[ANHPI Female Avg Salary]]/FemalePayGapsByOccupationalSeriesAndRacialEthnicGroup[[#This Row],[White Male Average Salary]],"")</f>
        <v>0.92349827021944431</v>
      </c>
      <c r="P146" s="10">
        <f>IFERROR(FemalePayGapsByOccupationalSeriesAndRacialEthnicGroup[[#This Row],[Black Female Employees]]/Q$318,"")</f>
        <v>5.2752893092222514E-4</v>
      </c>
      <c r="Q146" s="8">
        <v>111</v>
      </c>
      <c r="R146" s="6">
        <v>93192.819819819997</v>
      </c>
      <c r="S146" s="52">
        <f>IFERROR(FemalePayGapsByOccupationalSeriesAndRacialEthnicGroup[[#This Row],[Black Female Avg Salary]]/FemalePayGapsByOccupationalSeriesAndRacialEthnicGroup[[#This Row],[White Male Average Salary]],"")</f>
        <v>0.88727931018414208</v>
      </c>
      <c r="T146" s="10">
        <f>IFERROR(FemalePayGapsByOccupationalSeriesAndRacialEthnicGroup[[#This Row],[Hispanic Latino Female Employees]]/U$318,"")</f>
        <v>8.8446797328650358E-4</v>
      </c>
      <c r="U146" s="8">
        <v>69</v>
      </c>
      <c r="V146" s="6">
        <v>90372.826086956993</v>
      </c>
      <c r="W146" s="52">
        <f>IFERROR(FemalePayGapsByOccupationalSeriesAndRacialEthnicGroup[[#This Row],[Hispanic Latino Female Avg Salary]]/FemalePayGapsByOccupationalSeriesAndRacialEthnicGroup[[#This Row],[White Male Average Salary]],"")</f>
        <v>0.86043043814812126</v>
      </c>
      <c r="X146" s="10" t="str">
        <f>IFERROR(FemalePayGapsByOccupationalSeriesAndRacialEthnicGroup[[#This Row],[Other Female Employees]]/Y$318,"")</f>
        <v/>
      </c>
      <c r="Y146" s="8" t="s">
        <v>0</v>
      </c>
      <c r="Z146" s="6" t="s">
        <v>0</v>
      </c>
      <c r="AA14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47" spans="1:27" ht="15.6" x14ac:dyDescent="0.3">
      <c r="A147" s="46" t="s">
        <v>157</v>
      </c>
      <c r="B147" s="40">
        <v>909</v>
      </c>
      <c r="C147" s="41">
        <v>116845.147414741</v>
      </c>
      <c r="D147" s="70">
        <f>IFERROR(FemalePayGapsByOccupationalSeriesAndRacialEthnicGroup[[#This Row],[White Female Employees]]/E$318,"")</f>
        <v>2.2234489526788727E-3</v>
      </c>
      <c r="E147" s="16">
        <v>1015</v>
      </c>
      <c r="F147" s="17">
        <v>119462.972413793</v>
      </c>
      <c r="G147" s="18">
        <f>IFERROR(FemalePayGapsByOccupationalSeriesAndRacialEthnicGroup[[#This Row],[White Female Avg Salary]]/FemalePayGapsByOccupationalSeriesAndRacialEthnicGroup[[#This Row],[White Male Average Salary]],"")</f>
        <v>1.0224042252243479</v>
      </c>
      <c r="H147" s="10" t="str">
        <f>IFERROR(FemalePayGapsByOccupationalSeriesAndRacialEthnicGroup[[#This Row],[AIAN Female Employees]]/I$318,"")</f>
        <v/>
      </c>
      <c r="I147" t="s">
        <v>0</v>
      </c>
      <c r="J147" s="6" t="s">
        <v>0</v>
      </c>
      <c r="K147" s="52" t="str">
        <f>IFERROR(FemalePayGapsByOccupationalSeriesAndRacialEthnicGroup[[#This Row],[AIAN Female Avg Salary]]/FemalePayGapsByOccupationalSeriesAndRacialEthnicGroup[[#This Row],[White Male Average Salary]],"")</f>
        <v/>
      </c>
      <c r="L147" s="10">
        <f>IFERROR(FemalePayGapsByOccupationalSeriesAndRacialEthnicGroup[[#This Row],[ANHPI Female Employees]]/M$318,"")</f>
        <v>4.7073493882004522E-3</v>
      </c>
      <c r="M147" s="8">
        <v>302</v>
      </c>
      <c r="N147" s="6">
        <v>122319.622516556</v>
      </c>
      <c r="O147" s="52">
        <f>IFERROR(FemalePayGapsByOccupationalSeriesAndRacialEthnicGroup[[#This Row],[ANHPI Female Avg Salary]]/FemalePayGapsByOccupationalSeriesAndRacialEthnicGroup[[#This Row],[White Male Average Salary]],"")</f>
        <v>1.0468523958670135</v>
      </c>
      <c r="P147" s="10">
        <f>IFERROR(FemalePayGapsByOccupationalSeriesAndRacialEthnicGroup[[#This Row],[Black Female Employees]]/Q$318,"")</f>
        <v>2.1386308010360477E-3</v>
      </c>
      <c r="Q147" s="8">
        <v>450</v>
      </c>
      <c r="R147" s="6">
        <v>114749.244444444</v>
      </c>
      <c r="S147" s="52">
        <f>IFERROR(FemalePayGapsByOccupationalSeriesAndRacialEthnicGroup[[#This Row],[Black Female Avg Salary]]/FemalePayGapsByOccupationalSeriesAndRacialEthnicGroup[[#This Row],[White Male Average Salary]],"")</f>
        <v>0.98206255872263482</v>
      </c>
      <c r="T147" s="10">
        <f>IFERROR(FemalePayGapsByOccupationalSeriesAndRacialEthnicGroup[[#This Row],[Hispanic Latino Female Employees]]/U$318,"")</f>
        <v>2.0253034750618488E-3</v>
      </c>
      <c r="U147" s="8">
        <v>158</v>
      </c>
      <c r="V147" s="6">
        <v>114251.74050632901</v>
      </c>
      <c r="W147" s="52">
        <f>IFERROR(FemalePayGapsByOccupationalSeriesAndRacialEthnicGroup[[#This Row],[Hispanic Latino Female Avg Salary]]/FemalePayGapsByOccupationalSeriesAndRacialEthnicGroup[[#This Row],[White Male Average Salary]],"")</f>
        <v>0.97780475299323544</v>
      </c>
      <c r="X147" s="10" t="str">
        <f>IFERROR(FemalePayGapsByOccupationalSeriesAndRacialEthnicGroup[[#This Row],[Other Female Employees]]/Y$318,"")</f>
        <v/>
      </c>
      <c r="Y147" s="8" t="s">
        <v>0</v>
      </c>
      <c r="Z147" s="6" t="s">
        <v>0</v>
      </c>
      <c r="AA14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48" spans="1:27" ht="15.6" x14ac:dyDescent="0.3">
      <c r="A148" s="45" t="s">
        <v>158</v>
      </c>
      <c r="B148" s="38">
        <v>589</v>
      </c>
      <c r="C148" s="39">
        <v>115429.33106960999</v>
      </c>
      <c r="D148" s="69">
        <f>IFERROR(FemalePayGapsByOccupationalSeriesAndRacialEthnicGroup[[#This Row],[White Female Employees]]/E$318,"")</f>
        <v>1.7940932928512284E-3</v>
      </c>
      <c r="E148" s="67">
        <v>819</v>
      </c>
      <c r="F148" s="64">
        <v>111032.808302808</v>
      </c>
      <c r="G148" s="72">
        <f>IFERROR(FemalePayGapsByOccupationalSeriesAndRacialEthnicGroup[[#This Row],[White Female Avg Salary]]/FemalePayGapsByOccupationalSeriesAndRacialEthnicGroup[[#This Row],[White Male Average Salary]],"")</f>
        <v>0.96191156332569705</v>
      </c>
      <c r="H148" s="10" t="str">
        <f>IFERROR(FemalePayGapsByOccupationalSeriesAndRacialEthnicGroup[[#This Row],[AIAN Female Employees]]/I$318,"")</f>
        <v/>
      </c>
      <c r="I148" t="s">
        <v>0</v>
      </c>
      <c r="J148" s="6" t="s">
        <v>0</v>
      </c>
      <c r="K148" s="52" t="str">
        <f>IFERROR(FemalePayGapsByOccupationalSeriesAndRacialEthnicGroup[[#This Row],[AIAN Female Avg Salary]]/FemalePayGapsByOccupationalSeriesAndRacialEthnicGroup[[#This Row],[White Male Average Salary]],"")</f>
        <v/>
      </c>
      <c r="L148" s="10" t="str">
        <f>IFERROR(FemalePayGapsByOccupationalSeriesAndRacialEthnicGroup[[#This Row],[ANHPI Female Employees]]/M$318,"")</f>
        <v/>
      </c>
      <c r="M148" s="8" t="s">
        <v>0</v>
      </c>
      <c r="N148" s="6" t="s">
        <v>0</v>
      </c>
      <c r="O148" s="52" t="str">
        <f>IFERROR(FemalePayGapsByOccupationalSeriesAndRacialEthnicGroup[[#This Row],[ANHPI Female Avg Salary]]/FemalePayGapsByOccupationalSeriesAndRacialEthnicGroup[[#This Row],[White Male Average Salary]],"")</f>
        <v/>
      </c>
      <c r="P148" s="10">
        <f>IFERROR(FemalePayGapsByOccupationalSeriesAndRacialEthnicGroup[[#This Row],[Black Female Employees]]/Q$318,"")</f>
        <v>6.1307416296366699E-4</v>
      </c>
      <c r="Q148" s="8">
        <v>129</v>
      </c>
      <c r="R148" s="6">
        <v>111950.75968992199</v>
      </c>
      <c r="S148" s="52">
        <f>IFERROR(FemalePayGapsByOccupationalSeriesAndRacialEthnicGroup[[#This Row],[Black Female Avg Salary]]/FemalePayGapsByOccupationalSeriesAndRacialEthnicGroup[[#This Row],[White Male Average Salary]],"")</f>
        <v>0.96986406013571858</v>
      </c>
      <c r="T148" s="10" t="str">
        <f>IFERROR(FemalePayGapsByOccupationalSeriesAndRacialEthnicGroup[[#This Row],[Hispanic Latino Female Employees]]/U$318,"")</f>
        <v/>
      </c>
      <c r="U148" s="8" t="s">
        <v>0</v>
      </c>
      <c r="V148" s="6" t="s">
        <v>0</v>
      </c>
      <c r="W14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48" s="10" t="str">
        <f>IFERROR(FemalePayGapsByOccupationalSeriesAndRacialEthnicGroup[[#This Row],[Other Female Employees]]/Y$318,"")</f>
        <v/>
      </c>
      <c r="Y148" s="8" t="s">
        <v>0</v>
      </c>
      <c r="Z148" s="6" t="s">
        <v>0</v>
      </c>
      <c r="AA14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49" spans="1:27" ht="15.6" x14ac:dyDescent="0.3">
      <c r="A149" s="46" t="s">
        <v>159</v>
      </c>
      <c r="B149" s="40">
        <v>111</v>
      </c>
      <c r="C149" s="41">
        <v>62238.162162162</v>
      </c>
      <c r="D149" s="70">
        <f>IFERROR(FemalePayGapsByOccupationalSeriesAndRacialEthnicGroup[[#This Row],[White Female Employees]]/E$318,"")</f>
        <v>3.3954146568002488E-4</v>
      </c>
      <c r="E149" s="16">
        <v>155</v>
      </c>
      <c r="F149" s="17">
        <v>60659.714285713999</v>
      </c>
      <c r="G149" s="18">
        <f>IFERROR(FemalePayGapsByOccupationalSeriesAndRacialEthnicGroup[[#This Row],[White Female Avg Salary]]/FemalePayGapsByOccupationalSeriesAndRacialEthnicGroup[[#This Row],[White Male Average Salary]],"")</f>
        <v>0.97463858472659681</v>
      </c>
      <c r="H149" s="10" t="str">
        <f>IFERROR(FemalePayGapsByOccupationalSeriesAndRacialEthnicGroup[[#This Row],[AIAN Female Employees]]/I$318,"")</f>
        <v/>
      </c>
      <c r="I149" t="s">
        <v>0</v>
      </c>
      <c r="J149" s="6" t="s">
        <v>0</v>
      </c>
      <c r="K149" s="52" t="str">
        <f>IFERROR(FemalePayGapsByOccupationalSeriesAndRacialEthnicGroup[[#This Row],[AIAN Female Avg Salary]]/FemalePayGapsByOccupationalSeriesAndRacialEthnicGroup[[#This Row],[White Male Average Salary]],"")</f>
        <v/>
      </c>
      <c r="L149" s="10" t="str">
        <f>IFERROR(FemalePayGapsByOccupationalSeriesAndRacialEthnicGroup[[#This Row],[ANHPI Female Employees]]/M$318,"")</f>
        <v/>
      </c>
      <c r="M149" s="8" t="s">
        <v>0</v>
      </c>
      <c r="N149" s="6" t="s">
        <v>0</v>
      </c>
      <c r="O149" s="52" t="str">
        <f>IFERROR(FemalePayGapsByOccupationalSeriesAndRacialEthnicGroup[[#This Row],[ANHPI Female Avg Salary]]/FemalePayGapsByOccupationalSeriesAndRacialEthnicGroup[[#This Row],[White Male Average Salary]],"")</f>
        <v/>
      </c>
      <c r="P149" s="10" t="str">
        <f>IFERROR(FemalePayGapsByOccupationalSeriesAndRacialEthnicGroup[[#This Row],[Black Female Employees]]/Q$318,"")</f>
        <v/>
      </c>
      <c r="Q149" s="8" t="s">
        <v>0</v>
      </c>
      <c r="R149" s="6" t="s">
        <v>0</v>
      </c>
      <c r="S149" s="52" t="str">
        <f>IFERROR(FemalePayGapsByOccupationalSeriesAndRacialEthnicGroup[[#This Row],[Black Female Avg Salary]]/FemalePayGapsByOccupationalSeriesAndRacialEthnicGroup[[#This Row],[White Male Average Salary]],"")</f>
        <v/>
      </c>
      <c r="T149" s="10" t="str">
        <f>IFERROR(FemalePayGapsByOccupationalSeriesAndRacialEthnicGroup[[#This Row],[Hispanic Latino Female Employees]]/U$318,"")</f>
        <v/>
      </c>
      <c r="U149" s="8" t="s">
        <v>0</v>
      </c>
      <c r="V149" s="6" t="s">
        <v>0</v>
      </c>
      <c r="W14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49" s="10" t="str">
        <f>IFERROR(FemalePayGapsByOccupationalSeriesAndRacialEthnicGroup[[#This Row],[Other Female Employees]]/Y$318,"")</f>
        <v/>
      </c>
      <c r="Y149" s="8" t="s">
        <v>0</v>
      </c>
      <c r="Z149" s="6" t="s">
        <v>0</v>
      </c>
      <c r="AA14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50" spans="1:27" ht="15.6" x14ac:dyDescent="0.3">
      <c r="A150" s="45" t="s">
        <v>160</v>
      </c>
      <c r="B150" s="38">
        <v>18372</v>
      </c>
      <c r="C150" s="39">
        <v>136779.772271836</v>
      </c>
      <c r="D150" s="69">
        <f>IFERROR(FemalePayGapsByOccupationalSeriesAndRacialEthnicGroup[[#This Row],[White Female Employees]]/E$318,"")</f>
        <v>8.823696927478324E-3</v>
      </c>
      <c r="E150" s="67">
        <v>4028</v>
      </c>
      <c r="F150" s="64">
        <v>133556.725782414</v>
      </c>
      <c r="G150" s="72">
        <f>IFERROR(FemalePayGapsByOccupationalSeriesAndRacialEthnicGroup[[#This Row],[White Female Avg Salary]]/FemalePayGapsByOccupationalSeriesAndRacialEthnicGroup[[#This Row],[White Male Average Salary]],"")</f>
        <v>0.9764362344234897</v>
      </c>
      <c r="H150" s="10">
        <f>IFERROR(FemalePayGapsByOccupationalSeriesAndRacialEthnicGroup[[#This Row],[AIAN Female Employees]]/I$318,"")</f>
        <v>2.6139817629179333E-3</v>
      </c>
      <c r="I150">
        <v>43</v>
      </c>
      <c r="J150" s="6">
        <v>129245.06976744199</v>
      </c>
      <c r="K150" s="52">
        <f>IFERROR(FemalePayGapsByOccupationalSeriesAndRacialEthnicGroup[[#This Row],[AIAN Female Avg Salary]]/FemalePayGapsByOccupationalSeriesAndRacialEthnicGroup[[#This Row],[White Male Average Salary]],"")</f>
        <v>0.94491362005326673</v>
      </c>
      <c r="L150" s="10">
        <f>IFERROR(FemalePayGapsByOccupationalSeriesAndRacialEthnicGroup[[#This Row],[ANHPI Female Employees]]/M$318,"")</f>
        <v>1.0131712259371834E-2</v>
      </c>
      <c r="M150" s="8">
        <v>650</v>
      </c>
      <c r="N150" s="6">
        <v>128780.32357473001</v>
      </c>
      <c r="O150" s="52">
        <f>IFERROR(FemalePayGapsByOccupationalSeriesAndRacialEthnicGroup[[#This Row],[ANHPI Female Avg Salary]]/FemalePayGapsByOccupationalSeriesAndRacialEthnicGroup[[#This Row],[White Male Average Salary]],"")</f>
        <v>0.94151585015649908</v>
      </c>
      <c r="P150" s="10">
        <f>IFERROR(FemalePayGapsByOccupationalSeriesAndRacialEthnicGroup[[#This Row],[Black Female Employees]]/Q$318,"")</f>
        <v>3.3220065109426608E-3</v>
      </c>
      <c r="Q150" s="8">
        <v>699</v>
      </c>
      <c r="R150" s="6">
        <v>132866.74785100299</v>
      </c>
      <c r="S150" s="52">
        <f>IFERROR(FemalePayGapsByOccupationalSeriesAndRacialEthnicGroup[[#This Row],[Black Female Avg Salary]]/FemalePayGapsByOccupationalSeriesAndRacialEthnicGroup[[#This Row],[White Male Average Salary]],"")</f>
        <v>0.97139179020523392</v>
      </c>
      <c r="T150" s="10">
        <f>IFERROR(FemalePayGapsByOccupationalSeriesAndRacialEthnicGroup[[#This Row],[Hispanic Latino Female Employees]]/U$318,"")</f>
        <v>7.0757437862920287E-3</v>
      </c>
      <c r="U150" s="8">
        <v>552</v>
      </c>
      <c r="V150" s="6">
        <v>127689.581521739</v>
      </c>
      <c r="W150" s="52">
        <f>IFERROR(FemalePayGapsByOccupationalSeriesAndRacialEthnicGroup[[#This Row],[Hispanic Latino Female Avg Salary]]/FemalePayGapsByOccupationalSeriesAndRacialEthnicGroup[[#This Row],[White Male Average Salary]],"")</f>
        <v>0.93354141040656835</v>
      </c>
      <c r="X150" s="10">
        <f>IFERROR(FemalePayGapsByOccupationalSeriesAndRacialEthnicGroup[[#This Row],[Other Female Employees]]/Y$318,"")</f>
        <v>8.2527839014188004E-3</v>
      </c>
      <c r="Y150" s="8">
        <v>146</v>
      </c>
      <c r="Z150" s="6">
        <v>125874.369863014</v>
      </c>
      <c r="AA150" s="1">
        <f>IFERROR(FemalePayGapsByOccupationalSeriesAndRacialEthnicGroup[[#This Row],[Other Female Avg Salary]]/FemalePayGapsByOccupationalSeriesAndRacialEthnicGroup[[#This Row],[White Male Average Salary]],"")</f>
        <v>0.92027035702948379</v>
      </c>
    </row>
    <row r="151" spans="1:27" ht="15.6" x14ac:dyDescent="0.3">
      <c r="A151" s="46" t="s">
        <v>161</v>
      </c>
      <c r="B151" s="40">
        <v>10526</v>
      </c>
      <c r="C151" s="41">
        <v>90048.972826603</v>
      </c>
      <c r="D151" s="70">
        <f>IFERROR(FemalePayGapsByOccupationalSeriesAndRacialEthnicGroup[[#This Row],[White Female Employees]]/E$318,"")</f>
        <v>2.1336347585312531E-3</v>
      </c>
      <c r="E151" s="16">
        <v>974</v>
      </c>
      <c r="F151" s="17">
        <v>82883.368583161995</v>
      </c>
      <c r="G151" s="18">
        <f>IFERROR(FemalePayGapsByOccupationalSeriesAndRacialEthnicGroup[[#This Row],[White Female Avg Salary]]/FemalePayGapsByOccupationalSeriesAndRacialEthnicGroup[[#This Row],[White Male Average Salary]],"")</f>
        <v>0.92042547495528915</v>
      </c>
      <c r="H151" s="10">
        <f>IFERROR(FemalePayGapsByOccupationalSeriesAndRacialEthnicGroup[[#This Row],[AIAN Female Employees]]/I$318,"")</f>
        <v>2.188449848024316E-3</v>
      </c>
      <c r="I151">
        <v>36</v>
      </c>
      <c r="J151" s="6">
        <v>70840.666666667006</v>
      </c>
      <c r="K151" s="52">
        <f>IFERROR(FemalePayGapsByOccupationalSeriesAndRacialEthnicGroup[[#This Row],[AIAN Female Avg Salary]]/FemalePayGapsByOccupationalSeriesAndRacialEthnicGroup[[#This Row],[White Male Average Salary]],"")</f>
        <v>0.78669044679806366</v>
      </c>
      <c r="L151" s="10">
        <f>IFERROR(FemalePayGapsByOccupationalSeriesAndRacialEthnicGroup[[#This Row],[ANHPI Female Employees]]/M$318,"")</f>
        <v>1.1534564726054088E-3</v>
      </c>
      <c r="M151" s="8">
        <v>74</v>
      </c>
      <c r="N151" s="6">
        <v>85062.945945946005</v>
      </c>
      <c r="O151" s="52">
        <f>IFERROR(FemalePayGapsByOccupationalSeriesAndRacialEthnicGroup[[#This Row],[ANHPI Female Avg Salary]]/FemalePayGapsByOccupationalSeriesAndRacialEthnicGroup[[#This Row],[White Male Average Salary]],"")</f>
        <v>0.94462983058942807</v>
      </c>
      <c r="P151" s="10">
        <f>IFERROR(FemalePayGapsByOccupationalSeriesAndRacialEthnicGroup[[#This Row],[Black Female Employees]]/Q$318,"")</f>
        <v>6.8436185633153528E-4</v>
      </c>
      <c r="Q151" s="8">
        <v>144</v>
      </c>
      <c r="R151" s="6">
        <v>83735.055555555999</v>
      </c>
      <c r="S151" s="52">
        <f>IFERROR(FemalePayGapsByOccupationalSeriesAndRacialEthnicGroup[[#This Row],[Black Female Avg Salary]]/FemalePayGapsByOccupationalSeriesAndRacialEthnicGroup[[#This Row],[White Male Average Salary]],"")</f>
        <v>0.92988351701462502</v>
      </c>
      <c r="T151" s="10">
        <f>IFERROR(FemalePayGapsByOccupationalSeriesAndRacialEthnicGroup[[#This Row],[Hispanic Latino Female Employees]]/U$318,"")</f>
        <v>1.1023803725020188E-3</v>
      </c>
      <c r="U151" s="8">
        <v>86</v>
      </c>
      <c r="V151" s="6">
        <v>79114.104651162997</v>
      </c>
      <c r="W151" s="52">
        <f>IFERROR(FemalePayGapsByOccupationalSeriesAndRacialEthnicGroup[[#This Row],[Hispanic Latino Female Avg Salary]]/FemalePayGapsByOccupationalSeriesAndRacialEthnicGroup[[#This Row],[White Male Average Salary]],"")</f>
        <v>0.87856754128116454</v>
      </c>
      <c r="X151" s="10">
        <f>IFERROR(FemalePayGapsByOccupationalSeriesAndRacialEthnicGroup[[#This Row],[Other Female Employees]]/Y$318,"")</f>
        <v>2.5436662709852468E-3</v>
      </c>
      <c r="Y151" s="8">
        <v>45</v>
      </c>
      <c r="Z151" s="6">
        <v>84483.8</v>
      </c>
      <c r="AA151" s="1">
        <f>IFERROR(FemalePayGapsByOccupationalSeriesAndRacialEthnicGroup[[#This Row],[Other Female Avg Salary]]/FemalePayGapsByOccupationalSeriesAndRacialEthnicGroup[[#This Row],[White Male Average Salary]],"")</f>
        <v>0.93819837526276717</v>
      </c>
    </row>
    <row r="152" spans="1:27" ht="15.6" x14ac:dyDescent="0.3">
      <c r="A152" s="45" t="s">
        <v>162</v>
      </c>
      <c r="B152" s="38">
        <v>252</v>
      </c>
      <c r="C152" s="39">
        <v>125711.376984127</v>
      </c>
      <c r="D152" s="69">
        <f>IFERROR(FemalePayGapsByOccupationalSeriesAndRacialEthnicGroup[[#This Row],[White Female Employees]]/E$318,"")</f>
        <v>1.2048245556387979E-4</v>
      </c>
      <c r="E152" s="67">
        <v>55</v>
      </c>
      <c r="F152" s="64">
        <v>121548.109090909</v>
      </c>
      <c r="G152" s="72">
        <f>IFERROR(FemalePayGapsByOccupationalSeriesAndRacialEthnicGroup[[#This Row],[White Female Avg Salary]]/FemalePayGapsByOccupationalSeriesAndRacialEthnicGroup[[#This Row],[White Male Average Salary]],"")</f>
        <v>0.9668823300396775</v>
      </c>
      <c r="H152" s="10" t="str">
        <f>IFERROR(FemalePayGapsByOccupationalSeriesAndRacialEthnicGroup[[#This Row],[AIAN Female Employees]]/I$318,"")</f>
        <v/>
      </c>
      <c r="I152" t="s">
        <v>0</v>
      </c>
      <c r="J152" s="6" t="s">
        <v>0</v>
      </c>
      <c r="K152" s="52" t="str">
        <f>IFERROR(FemalePayGapsByOccupationalSeriesAndRacialEthnicGroup[[#This Row],[AIAN Female Avg Salary]]/FemalePayGapsByOccupationalSeriesAndRacialEthnicGroup[[#This Row],[White Male Average Salary]],"")</f>
        <v/>
      </c>
      <c r="L152" s="10" t="str">
        <f>IFERROR(FemalePayGapsByOccupationalSeriesAndRacialEthnicGroup[[#This Row],[ANHPI Female Employees]]/M$318,"")</f>
        <v/>
      </c>
      <c r="M152" s="8" t="s">
        <v>0</v>
      </c>
      <c r="N152" s="6" t="s">
        <v>0</v>
      </c>
      <c r="O152" s="52" t="str">
        <f>IFERROR(FemalePayGapsByOccupationalSeriesAndRacialEthnicGroup[[#This Row],[ANHPI Female Avg Salary]]/FemalePayGapsByOccupationalSeriesAndRacialEthnicGroup[[#This Row],[White Male Average Salary]],"")</f>
        <v/>
      </c>
      <c r="P152" s="10" t="str">
        <f>IFERROR(FemalePayGapsByOccupationalSeriesAndRacialEthnicGroup[[#This Row],[Black Female Employees]]/Q$318,"")</f>
        <v/>
      </c>
      <c r="Q152" s="8" t="s">
        <v>0</v>
      </c>
      <c r="R152" s="6" t="s">
        <v>0</v>
      </c>
      <c r="S152" s="52" t="str">
        <f>IFERROR(FemalePayGapsByOccupationalSeriesAndRacialEthnicGroup[[#This Row],[Black Female Avg Salary]]/FemalePayGapsByOccupationalSeriesAndRacialEthnicGroup[[#This Row],[White Male Average Salary]],"")</f>
        <v/>
      </c>
      <c r="T152" s="10" t="str">
        <f>IFERROR(FemalePayGapsByOccupationalSeriesAndRacialEthnicGroup[[#This Row],[Hispanic Latino Female Employees]]/U$318,"")</f>
        <v/>
      </c>
      <c r="U152" s="8" t="s">
        <v>0</v>
      </c>
      <c r="V152" s="47" t="s">
        <v>0</v>
      </c>
      <c r="W15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52" s="10" t="str">
        <f>IFERROR(FemalePayGapsByOccupationalSeriesAndRacialEthnicGroup[[#This Row],[Other Female Employees]]/Y$318,"")</f>
        <v/>
      </c>
      <c r="Y152" s="8" t="s">
        <v>0</v>
      </c>
      <c r="Z152" s="6" t="s">
        <v>0</v>
      </c>
      <c r="AA15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53" spans="1:27" ht="15.6" x14ac:dyDescent="0.3">
      <c r="A153" s="46" t="s">
        <v>163</v>
      </c>
      <c r="B153" s="40">
        <v>189</v>
      </c>
      <c r="C153" s="41">
        <v>129309.787234043</v>
      </c>
      <c r="D153" s="70">
        <f>IFERROR(FemalePayGapsByOccupationalSeriesAndRacialEthnicGroup[[#This Row],[White Female Employees]]/E$318,"")</f>
        <v>3.5049441618583217E-5</v>
      </c>
      <c r="E153" s="16">
        <v>16</v>
      </c>
      <c r="F153" s="17">
        <v>123254.125</v>
      </c>
      <c r="G153" s="18">
        <f>IFERROR(FemalePayGapsByOccupationalSeriesAndRacialEthnicGroup[[#This Row],[White Female Avg Salary]]/FemalePayGapsByOccupationalSeriesAndRacialEthnicGroup[[#This Row],[White Male Average Salary]],"")</f>
        <v>0.95316934345361948</v>
      </c>
      <c r="H153" s="10" t="str">
        <f>IFERROR(FemalePayGapsByOccupationalSeriesAndRacialEthnicGroup[[#This Row],[AIAN Female Employees]]/I$318,"")</f>
        <v/>
      </c>
      <c r="I153" t="s">
        <v>0</v>
      </c>
      <c r="J153" s="6" t="s">
        <v>0</v>
      </c>
      <c r="K153" s="52" t="str">
        <f>IFERROR(FemalePayGapsByOccupationalSeriesAndRacialEthnicGroup[[#This Row],[AIAN Female Avg Salary]]/FemalePayGapsByOccupationalSeriesAndRacialEthnicGroup[[#This Row],[White Male Average Salary]],"")</f>
        <v/>
      </c>
      <c r="L153" s="10" t="str">
        <f>IFERROR(FemalePayGapsByOccupationalSeriesAndRacialEthnicGroup[[#This Row],[ANHPI Female Employees]]/M$318,"")</f>
        <v/>
      </c>
      <c r="M153" s="8" t="s">
        <v>0</v>
      </c>
      <c r="N153" s="6" t="s">
        <v>0</v>
      </c>
      <c r="O153" s="52" t="str">
        <f>IFERROR(FemalePayGapsByOccupationalSeriesAndRacialEthnicGroup[[#This Row],[ANHPI Female Avg Salary]]/FemalePayGapsByOccupationalSeriesAndRacialEthnicGroup[[#This Row],[White Male Average Salary]],"")</f>
        <v/>
      </c>
      <c r="P153" s="10" t="str">
        <f>IFERROR(FemalePayGapsByOccupationalSeriesAndRacialEthnicGroup[[#This Row],[Black Female Employees]]/Q$318,"")</f>
        <v/>
      </c>
      <c r="Q153" s="8" t="s">
        <v>0</v>
      </c>
      <c r="R153" s="6" t="s">
        <v>0</v>
      </c>
      <c r="S153" s="52" t="str">
        <f>IFERROR(FemalePayGapsByOccupationalSeriesAndRacialEthnicGroup[[#This Row],[Black Female Avg Salary]]/FemalePayGapsByOccupationalSeriesAndRacialEthnicGroup[[#This Row],[White Male Average Salary]],"")</f>
        <v/>
      </c>
      <c r="T153" s="10" t="str">
        <f>IFERROR(FemalePayGapsByOccupationalSeriesAndRacialEthnicGroup[[#This Row],[Hispanic Latino Female Employees]]/U$318,"")</f>
        <v/>
      </c>
      <c r="U153" s="8" t="s">
        <v>0</v>
      </c>
      <c r="V153" s="47" t="s">
        <v>0</v>
      </c>
      <c r="W15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53" s="10" t="str">
        <f>IFERROR(FemalePayGapsByOccupationalSeriesAndRacialEthnicGroup[[#This Row],[Other Female Employees]]/Y$318,"")</f>
        <v/>
      </c>
      <c r="Y153" s="8" t="s">
        <v>0</v>
      </c>
      <c r="Z153" s="6" t="s">
        <v>0</v>
      </c>
      <c r="AA15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54" spans="1:27" ht="15.6" x14ac:dyDescent="0.3">
      <c r="A154" s="45" t="s">
        <v>164</v>
      </c>
      <c r="B154" s="38">
        <v>763</v>
      </c>
      <c r="C154" s="39">
        <v>133194.082568807</v>
      </c>
      <c r="D154" s="69">
        <f>IFERROR(FemalePayGapsByOccupationalSeriesAndRacialEthnicGroup[[#This Row],[White Female Employees]]/E$318,"")</f>
        <v>3.8335326770325389E-4</v>
      </c>
      <c r="E154" s="67">
        <v>175</v>
      </c>
      <c r="F154" s="64">
        <v>118934.10285714301</v>
      </c>
      <c r="G154" s="72">
        <f>IFERROR(FemalePayGapsByOccupationalSeriesAndRacialEthnicGroup[[#This Row],[White Female Avg Salary]]/FemalePayGapsByOccupationalSeriesAndRacialEthnicGroup[[#This Row],[White Male Average Salary]],"")</f>
        <v>0.89293833902645481</v>
      </c>
      <c r="H154" s="10" t="str">
        <f>IFERROR(FemalePayGapsByOccupationalSeriesAndRacialEthnicGroup[[#This Row],[AIAN Female Employees]]/I$318,"")</f>
        <v/>
      </c>
      <c r="I154" t="s">
        <v>0</v>
      </c>
      <c r="J154" s="6" t="s">
        <v>0</v>
      </c>
      <c r="K154" s="52" t="str">
        <f>IFERROR(FemalePayGapsByOccupationalSeriesAndRacialEthnicGroup[[#This Row],[AIAN Female Avg Salary]]/FemalePayGapsByOccupationalSeriesAndRacialEthnicGroup[[#This Row],[White Male Average Salary]],"")</f>
        <v/>
      </c>
      <c r="L154" s="10">
        <f>IFERROR(FemalePayGapsByOccupationalSeriesAndRacialEthnicGroup[[#This Row],[ANHPI Female Employees]]/M$318,"")</f>
        <v>4.2085574000467617E-4</v>
      </c>
      <c r="M154" s="8">
        <v>27</v>
      </c>
      <c r="N154" s="6">
        <v>122065.25925925899</v>
      </c>
      <c r="O154" s="52">
        <f>IFERROR(FemalePayGapsByOccupationalSeriesAndRacialEthnicGroup[[#This Row],[ANHPI Female Avg Salary]]/FemalePayGapsByOccupationalSeriesAndRacialEthnicGroup[[#This Row],[White Male Average Salary]],"")</f>
        <v>0.9164465635791369</v>
      </c>
      <c r="P154" s="10" t="str">
        <f>IFERROR(FemalePayGapsByOccupationalSeriesAndRacialEthnicGroup[[#This Row],[Black Female Employees]]/Q$318,"")</f>
        <v/>
      </c>
      <c r="Q154" s="8" t="s">
        <v>0</v>
      </c>
      <c r="R154" s="6" t="s">
        <v>0</v>
      </c>
      <c r="S154" s="52" t="str">
        <f>IFERROR(FemalePayGapsByOccupationalSeriesAndRacialEthnicGroup[[#This Row],[Black Female Avg Salary]]/FemalePayGapsByOccupationalSeriesAndRacialEthnicGroup[[#This Row],[White Male Average Salary]],"")</f>
        <v/>
      </c>
      <c r="T154" s="10" t="str">
        <f>IFERROR(FemalePayGapsByOccupationalSeriesAndRacialEthnicGroup[[#This Row],[Hispanic Latino Female Employees]]/U$318,"")</f>
        <v/>
      </c>
      <c r="U154" s="8" t="s">
        <v>0</v>
      </c>
      <c r="V154" s="47" t="s">
        <v>0</v>
      </c>
      <c r="W15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54" s="10" t="str">
        <f>IFERROR(FemalePayGapsByOccupationalSeriesAndRacialEthnicGroup[[#This Row],[Other Female Employees]]/Y$318,"")</f>
        <v/>
      </c>
      <c r="Y154" s="8" t="s">
        <v>0</v>
      </c>
      <c r="Z154" s="6" t="s">
        <v>0</v>
      </c>
      <c r="AA15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55" spans="1:27" ht="15.6" x14ac:dyDescent="0.3">
      <c r="A155" s="46" t="s">
        <v>165</v>
      </c>
      <c r="B155" s="40">
        <v>139</v>
      </c>
      <c r="C155" s="41">
        <v>104816.316546763</v>
      </c>
      <c r="D155" s="70">
        <f>IFERROR(FemalePayGapsByOccupationalSeriesAndRacialEthnicGroup[[#This Row],[White Female Employees]]/E$318,"")</f>
        <v>2.1467782991382219E-4</v>
      </c>
      <c r="E155" s="16">
        <v>98</v>
      </c>
      <c r="F155" s="17">
        <v>104331.908163265</v>
      </c>
      <c r="G155" s="18">
        <f>IFERROR(FemalePayGapsByOccupationalSeriesAndRacialEthnicGroup[[#This Row],[White Female Avg Salary]]/FemalePayGapsByOccupationalSeriesAndRacialEthnicGroup[[#This Row],[White Male Average Salary]],"")</f>
        <v>0.99537850213156576</v>
      </c>
      <c r="H155" s="10" t="str">
        <f>IFERROR(FemalePayGapsByOccupationalSeriesAndRacialEthnicGroup[[#This Row],[AIAN Female Employees]]/I$318,"")</f>
        <v/>
      </c>
      <c r="I155" t="s">
        <v>0</v>
      </c>
      <c r="J155" s="6" t="s">
        <v>0</v>
      </c>
      <c r="K155" s="52" t="str">
        <f>IFERROR(FemalePayGapsByOccupationalSeriesAndRacialEthnicGroup[[#This Row],[AIAN Female Avg Salary]]/FemalePayGapsByOccupationalSeriesAndRacialEthnicGroup[[#This Row],[White Male Average Salary]],"")</f>
        <v/>
      </c>
      <c r="L155" s="10" t="str">
        <f>IFERROR(FemalePayGapsByOccupationalSeriesAndRacialEthnicGroup[[#This Row],[ANHPI Female Employees]]/M$318,"")</f>
        <v/>
      </c>
      <c r="M155" s="8" t="s">
        <v>0</v>
      </c>
      <c r="N155" s="6" t="s">
        <v>0</v>
      </c>
      <c r="O155" s="52" t="str">
        <f>IFERROR(FemalePayGapsByOccupationalSeriesAndRacialEthnicGroup[[#This Row],[ANHPI Female Avg Salary]]/FemalePayGapsByOccupationalSeriesAndRacialEthnicGroup[[#This Row],[White Male Average Salary]],"")</f>
        <v/>
      </c>
      <c r="P155" s="10" t="str">
        <f>IFERROR(FemalePayGapsByOccupationalSeriesAndRacialEthnicGroup[[#This Row],[Black Female Employees]]/Q$318,"")</f>
        <v/>
      </c>
      <c r="Q155" s="8" t="s">
        <v>0</v>
      </c>
      <c r="R155" s="6" t="s">
        <v>0</v>
      </c>
      <c r="S155" s="52" t="str">
        <f>IFERROR(FemalePayGapsByOccupationalSeriesAndRacialEthnicGroup[[#This Row],[Black Female Avg Salary]]/FemalePayGapsByOccupationalSeriesAndRacialEthnicGroup[[#This Row],[White Male Average Salary]],"")</f>
        <v/>
      </c>
      <c r="T155" s="10" t="str">
        <f>IFERROR(FemalePayGapsByOccupationalSeriesAndRacialEthnicGroup[[#This Row],[Hispanic Latino Female Employees]]/U$318,"")</f>
        <v/>
      </c>
      <c r="U155" s="8" t="s">
        <v>0</v>
      </c>
      <c r="V155" s="47" t="s">
        <v>0</v>
      </c>
      <c r="W15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55" s="10" t="str">
        <f>IFERROR(FemalePayGapsByOccupationalSeriesAndRacialEthnicGroup[[#This Row],[Other Female Employees]]/Y$318,"")</f>
        <v/>
      </c>
      <c r="Y155" s="8" t="s">
        <v>0</v>
      </c>
      <c r="Z155" s="6" t="s">
        <v>0</v>
      </c>
      <c r="AA15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56" spans="1:27" ht="15.6" x14ac:dyDescent="0.3">
      <c r="A156" s="45" t="s">
        <v>166</v>
      </c>
      <c r="B156" s="38">
        <v>870</v>
      </c>
      <c r="C156" s="39">
        <v>115022.814942529</v>
      </c>
      <c r="D156" s="69">
        <f>IFERROR(FemalePayGapsByOccupationalSeriesAndRacialEthnicGroup[[#This Row],[White Female Employees]]/E$318,"")</f>
        <v>8.0394656712625247E-4</v>
      </c>
      <c r="E156" s="67">
        <v>367</v>
      </c>
      <c r="F156" s="64">
        <v>111737.431693989</v>
      </c>
      <c r="G156" s="72">
        <f>IFERROR(FemalePayGapsByOccupationalSeriesAndRacialEthnicGroup[[#This Row],[White Female Avg Salary]]/FemalePayGapsByOccupationalSeriesAndRacialEthnicGroup[[#This Row],[White Male Average Salary]],"")</f>
        <v>0.97143711662610988</v>
      </c>
      <c r="H156" s="10" t="str">
        <f>IFERROR(FemalePayGapsByOccupationalSeriesAndRacialEthnicGroup[[#This Row],[AIAN Female Employees]]/I$318,"")</f>
        <v/>
      </c>
      <c r="I156" t="s">
        <v>0</v>
      </c>
      <c r="J156" s="6" t="s">
        <v>0</v>
      </c>
      <c r="K156" s="52" t="str">
        <f>IFERROR(FemalePayGapsByOccupationalSeriesAndRacialEthnicGroup[[#This Row],[AIAN Female Avg Salary]]/FemalePayGapsByOccupationalSeriesAndRacialEthnicGroup[[#This Row],[White Male Average Salary]],"")</f>
        <v/>
      </c>
      <c r="L156" s="10">
        <f>IFERROR(FemalePayGapsByOccupationalSeriesAndRacialEthnicGroup[[#This Row],[ANHPI Female Employees]]/M$318,"")</f>
        <v>1.4028524666822538E-3</v>
      </c>
      <c r="M156" s="8">
        <v>90</v>
      </c>
      <c r="N156" s="6">
        <v>107527.977777778</v>
      </c>
      <c r="O156" s="52">
        <f>IFERROR(FemalePayGapsByOccupationalSeriesAndRacialEthnicGroup[[#This Row],[ANHPI Female Avg Salary]]/FemalePayGapsByOccupationalSeriesAndRacialEthnicGroup[[#This Row],[White Male Average Salary]],"")</f>
        <v>0.93484042997473338</v>
      </c>
      <c r="P156" s="10">
        <f>IFERROR(FemalePayGapsByOccupationalSeriesAndRacialEthnicGroup[[#This Row],[Black Female Employees]]/Q$318,"")</f>
        <v>2.7564574768909058E-4</v>
      </c>
      <c r="Q156" s="8">
        <v>58</v>
      </c>
      <c r="R156" s="6">
        <v>105151.034482759</v>
      </c>
      <c r="S156" s="52">
        <f>IFERROR(FemalePayGapsByOccupationalSeriesAndRacialEthnicGroup[[#This Row],[Black Female Avg Salary]]/FemalePayGapsByOccupationalSeriesAndRacialEthnicGroup[[#This Row],[White Male Average Salary]],"")</f>
        <v>0.91417545758463292</v>
      </c>
      <c r="T156" s="10">
        <f>IFERROR(FemalePayGapsByOccupationalSeriesAndRacialEthnicGroup[[#This Row],[Hispanic Latino Female Employees]]/U$318,"")</f>
        <v>6.2810044479766195E-4</v>
      </c>
      <c r="U156" s="8">
        <v>49</v>
      </c>
      <c r="V156" s="6">
        <v>105239.44897959199</v>
      </c>
      <c r="W156" s="52">
        <f>IFERROR(FemalePayGapsByOccupationalSeriesAndRacialEthnicGroup[[#This Row],[Hispanic Latino Female Avg Salary]]/FemalePayGapsByOccupationalSeriesAndRacialEthnicGroup[[#This Row],[White Male Average Salary]],"")</f>
        <v>0.91494412679932013</v>
      </c>
      <c r="X156" s="10" t="str">
        <f>IFERROR(FemalePayGapsByOccupationalSeriesAndRacialEthnicGroup[[#This Row],[Other Female Employees]]/Y$318,"")</f>
        <v/>
      </c>
      <c r="Y156" s="8" t="s">
        <v>0</v>
      </c>
      <c r="Z156" s="6" t="s">
        <v>0</v>
      </c>
      <c r="AA15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57" spans="1:27" ht="15.6" x14ac:dyDescent="0.3">
      <c r="A157" s="46" t="s">
        <v>167</v>
      </c>
      <c r="B157" s="40">
        <v>1253</v>
      </c>
      <c r="C157" s="41">
        <v>83044.651237030994</v>
      </c>
      <c r="D157" s="70">
        <f>IFERROR(FemalePayGapsByOccupationalSeriesAndRacialEthnicGroup[[#This Row],[White Female Employees]]/E$318,"")</f>
        <v>1.6429425758710881E-4</v>
      </c>
      <c r="E157" s="16">
        <v>75</v>
      </c>
      <c r="F157" s="17">
        <v>80776.613333333007</v>
      </c>
      <c r="G157" s="18">
        <f>IFERROR(FemalePayGapsByOccupationalSeriesAndRacialEthnicGroup[[#This Row],[White Female Avg Salary]]/FemalePayGapsByOccupationalSeriesAndRacialEthnicGroup[[#This Row],[White Male Average Salary]],"")</f>
        <v>0.97268893456817085</v>
      </c>
      <c r="H157" s="10" t="str">
        <f>IFERROR(FemalePayGapsByOccupationalSeriesAndRacialEthnicGroup[[#This Row],[AIAN Female Employees]]/I$318,"")</f>
        <v/>
      </c>
      <c r="I157" t="s">
        <v>0</v>
      </c>
      <c r="J157" s="6" t="s">
        <v>0</v>
      </c>
      <c r="K157" s="52" t="str">
        <f>IFERROR(FemalePayGapsByOccupationalSeriesAndRacialEthnicGroup[[#This Row],[AIAN Female Avg Salary]]/FemalePayGapsByOccupationalSeriesAndRacialEthnicGroup[[#This Row],[White Male Average Salary]],"")</f>
        <v/>
      </c>
      <c r="L157" s="10" t="str">
        <f>IFERROR(FemalePayGapsByOccupationalSeriesAndRacialEthnicGroup[[#This Row],[ANHPI Female Employees]]/M$318,"")</f>
        <v/>
      </c>
      <c r="M157" s="8" t="s">
        <v>0</v>
      </c>
      <c r="N157" s="6" t="s">
        <v>0</v>
      </c>
      <c r="O157" s="52" t="str">
        <f>IFERROR(FemalePayGapsByOccupationalSeriesAndRacialEthnicGroup[[#This Row],[ANHPI Female Avg Salary]]/FemalePayGapsByOccupationalSeriesAndRacialEthnicGroup[[#This Row],[White Male Average Salary]],"")</f>
        <v/>
      </c>
      <c r="P157" s="10">
        <f>IFERROR(FemalePayGapsByOccupationalSeriesAndRacialEthnicGroup[[#This Row],[Black Female Employees]]/Q$318,"")</f>
        <v>4.2772616020720955E-5</v>
      </c>
      <c r="Q157" s="8">
        <v>9</v>
      </c>
      <c r="R157" s="6">
        <v>95900.666666667006</v>
      </c>
      <c r="S157" s="52">
        <f>IFERROR(FemalePayGapsByOccupationalSeriesAndRacialEthnicGroup[[#This Row],[Black Female Avg Salary]]/FemalePayGapsByOccupationalSeriesAndRacialEthnicGroup[[#This Row],[White Male Average Salary]],"")</f>
        <v>1.154808470360621</v>
      </c>
      <c r="T157" s="10">
        <f>IFERROR(FemalePayGapsByOccupationalSeriesAndRacialEthnicGroup[[#This Row],[Hispanic Latino Female Employees]]/U$318,"")</f>
        <v>1.1536538781997872E-4</v>
      </c>
      <c r="U157" s="8">
        <v>9</v>
      </c>
      <c r="V157" s="6">
        <v>88729.444444444001</v>
      </c>
      <c r="W157" s="52">
        <f>IFERROR(FemalePayGapsByOccupationalSeriesAndRacialEthnicGroup[[#This Row],[Hispanic Latino Female Avg Salary]]/FemalePayGapsByOccupationalSeriesAndRacialEthnicGroup[[#This Row],[White Male Average Salary]],"")</f>
        <v>1.0684546580993775</v>
      </c>
      <c r="X157" s="10" t="str">
        <f>IFERROR(FemalePayGapsByOccupationalSeriesAndRacialEthnicGroup[[#This Row],[Other Female Employees]]/Y$318,"")</f>
        <v/>
      </c>
      <c r="Y157" s="8" t="s">
        <v>0</v>
      </c>
      <c r="Z157" s="6" t="s">
        <v>0</v>
      </c>
      <c r="AA15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58" spans="1:27" ht="15.6" x14ac:dyDescent="0.3">
      <c r="A158" s="45" t="s">
        <v>168</v>
      </c>
      <c r="B158" s="38">
        <v>6528</v>
      </c>
      <c r="C158" s="39">
        <v>108379.387492336</v>
      </c>
      <c r="D158" s="69">
        <f>IFERROR(FemalePayGapsByOccupationalSeriesAndRacialEthnicGroup[[#This Row],[White Female Employees]]/E$318,"")</f>
        <v>3.857629168145315E-3</v>
      </c>
      <c r="E158" s="67">
        <v>1761</v>
      </c>
      <c r="F158" s="64">
        <v>101401.22114838001</v>
      </c>
      <c r="G158" s="72">
        <f>IFERROR(FemalePayGapsByOccupationalSeriesAndRacialEthnicGroup[[#This Row],[White Female Avg Salary]]/FemalePayGapsByOccupationalSeriesAndRacialEthnicGroup[[#This Row],[White Male Average Salary]],"")</f>
        <v>0.9356135285000623</v>
      </c>
      <c r="H158" s="10">
        <f>IFERROR(FemalePayGapsByOccupationalSeriesAndRacialEthnicGroup[[#This Row],[AIAN Female Employees]]/I$318,"")</f>
        <v>2.2492401215805473E-3</v>
      </c>
      <c r="I158">
        <v>37</v>
      </c>
      <c r="J158" s="6">
        <v>101095.162162162</v>
      </c>
      <c r="K158" s="52">
        <f>IFERROR(FemalePayGapsByOccupationalSeriesAndRacialEthnicGroup[[#This Row],[AIAN Female Avg Salary]]/FemalePayGapsByOccupationalSeriesAndRacialEthnicGroup[[#This Row],[White Male Average Salary]],"")</f>
        <v>0.93278956913565225</v>
      </c>
      <c r="L158" s="10">
        <f>IFERROR(FemalePayGapsByOccupationalSeriesAndRacialEthnicGroup[[#This Row],[ANHPI Female Employees]]/M$318,"")</f>
        <v>4.083859403008339E-3</v>
      </c>
      <c r="M158" s="8">
        <v>262</v>
      </c>
      <c r="N158" s="6">
        <v>104965.0651341</v>
      </c>
      <c r="O158" s="52">
        <f>IFERROR(FemalePayGapsByOccupationalSeriesAndRacialEthnicGroup[[#This Row],[ANHPI Female Avg Salary]]/FemalePayGapsByOccupationalSeriesAndRacialEthnicGroup[[#This Row],[White Male Average Salary]],"")</f>
        <v>0.96849657082185081</v>
      </c>
      <c r="P158" s="10">
        <f>IFERROR(FemalePayGapsByOccupationalSeriesAndRacialEthnicGroup[[#This Row],[Black Female Employees]]/Q$318,"")</f>
        <v>7.7465960126416847E-4</v>
      </c>
      <c r="Q158" s="8">
        <v>163</v>
      </c>
      <c r="R158" s="6">
        <v>102736.226993865</v>
      </c>
      <c r="S158" s="52">
        <f>IFERROR(FemalePayGapsByOccupationalSeriesAndRacialEthnicGroup[[#This Row],[Black Female Avg Salary]]/FemalePayGapsByOccupationalSeriesAndRacialEthnicGroup[[#This Row],[White Male Average Salary]],"")</f>
        <v>0.9479314228559369</v>
      </c>
      <c r="T158" s="10">
        <f>IFERROR(FemalePayGapsByOccupationalSeriesAndRacialEthnicGroup[[#This Row],[Hispanic Latino Female Employees]]/U$318,"")</f>
        <v>3.3712329996282669E-3</v>
      </c>
      <c r="U158" s="8">
        <v>263</v>
      </c>
      <c r="V158" s="6">
        <v>94538.798479086996</v>
      </c>
      <c r="W158" s="52">
        <f>IFERROR(FemalePayGapsByOccupationalSeriesAndRacialEthnicGroup[[#This Row],[Hispanic Latino Female Avg Salary]]/FemalePayGapsByOccupationalSeriesAndRacialEthnicGroup[[#This Row],[White Male Average Salary]],"")</f>
        <v>0.87229500614932209</v>
      </c>
      <c r="X158" s="10">
        <f>IFERROR(FemalePayGapsByOccupationalSeriesAndRacialEthnicGroup[[#This Row],[Other Female Employees]]/Y$318,"")</f>
        <v>3.9568141993103836E-3</v>
      </c>
      <c r="Y158" s="8">
        <v>70</v>
      </c>
      <c r="Z158" s="6">
        <v>99367.542857142995</v>
      </c>
      <c r="AA158" s="1">
        <f>IFERROR(FemalePayGapsByOccupationalSeriesAndRacialEthnicGroup[[#This Row],[Other Female Avg Salary]]/FemalePayGapsByOccupationalSeriesAndRacialEthnicGroup[[#This Row],[White Male Average Salary]],"")</f>
        <v>0.91684909055395547</v>
      </c>
    </row>
    <row r="159" spans="1:27" ht="15.6" x14ac:dyDescent="0.3">
      <c r="A159" s="46" t="s">
        <v>169</v>
      </c>
      <c r="B159" s="40">
        <v>155</v>
      </c>
      <c r="C159" s="41">
        <v>64611.670967742</v>
      </c>
      <c r="D159" s="70">
        <f>IFERROR(FemalePayGapsByOccupationalSeriesAndRacialEthnicGroup[[#This Row],[White Female Employees]]/E$318,"")</f>
        <v>3.9430621820906113E-5</v>
      </c>
      <c r="E159" s="16">
        <v>18</v>
      </c>
      <c r="F159" s="17">
        <v>62580.222222222001</v>
      </c>
      <c r="G159" s="18">
        <f>IFERROR(FemalePayGapsByOccupationalSeriesAndRacialEthnicGroup[[#This Row],[White Female Avg Salary]]/FemalePayGapsByOccupationalSeriesAndRacialEthnicGroup[[#This Row],[White Male Average Salary]],"")</f>
        <v>0.96855910526545241</v>
      </c>
      <c r="H159" s="10" t="str">
        <f>IFERROR(FemalePayGapsByOccupationalSeriesAndRacialEthnicGroup[[#This Row],[AIAN Female Employees]]/I$318,"")</f>
        <v/>
      </c>
      <c r="I159" t="s">
        <v>0</v>
      </c>
      <c r="J159" s="6" t="s">
        <v>0</v>
      </c>
      <c r="K159" s="52" t="str">
        <f>IFERROR(FemalePayGapsByOccupationalSeriesAndRacialEthnicGroup[[#This Row],[AIAN Female Avg Salary]]/FemalePayGapsByOccupationalSeriesAndRacialEthnicGroup[[#This Row],[White Male Average Salary]],"")</f>
        <v/>
      </c>
      <c r="L159" s="10" t="str">
        <f>IFERROR(FemalePayGapsByOccupationalSeriesAndRacialEthnicGroup[[#This Row],[ANHPI Female Employees]]/M$318,"")</f>
        <v/>
      </c>
      <c r="M159" s="8" t="s">
        <v>0</v>
      </c>
      <c r="N159" s="6" t="s">
        <v>0</v>
      </c>
      <c r="O159" s="52" t="str">
        <f>IFERROR(FemalePayGapsByOccupationalSeriesAndRacialEthnicGroup[[#This Row],[ANHPI Female Avg Salary]]/FemalePayGapsByOccupationalSeriesAndRacialEthnicGroup[[#This Row],[White Male Average Salary]],"")</f>
        <v/>
      </c>
      <c r="P159" s="10" t="str">
        <f>IFERROR(FemalePayGapsByOccupationalSeriesAndRacialEthnicGroup[[#This Row],[Black Female Employees]]/Q$318,"")</f>
        <v/>
      </c>
      <c r="Q159" s="8" t="s">
        <v>0</v>
      </c>
      <c r="R159" s="6" t="s">
        <v>0</v>
      </c>
      <c r="S159" s="52" t="str">
        <f>IFERROR(FemalePayGapsByOccupationalSeriesAndRacialEthnicGroup[[#This Row],[Black Female Avg Salary]]/FemalePayGapsByOccupationalSeriesAndRacialEthnicGroup[[#This Row],[White Male Average Salary]],"")</f>
        <v/>
      </c>
      <c r="T159" s="10" t="str">
        <f>IFERROR(FemalePayGapsByOccupationalSeriesAndRacialEthnicGroup[[#This Row],[Hispanic Latino Female Employees]]/U$318,"")</f>
        <v/>
      </c>
      <c r="U159" s="8" t="s">
        <v>0</v>
      </c>
      <c r="V159" s="6" t="s">
        <v>0</v>
      </c>
      <c r="W15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59" s="10" t="str">
        <f>IFERROR(FemalePayGapsByOccupationalSeriesAndRacialEthnicGroup[[#This Row],[Other Female Employees]]/Y$318,"")</f>
        <v/>
      </c>
      <c r="Y159" s="8" t="s">
        <v>0</v>
      </c>
      <c r="Z159" s="6" t="s">
        <v>0</v>
      </c>
      <c r="AA15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60" spans="1:27" ht="15.6" x14ac:dyDescent="0.3">
      <c r="A160" s="45" t="s">
        <v>170</v>
      </c>
      <c r="B160" s="38">
        <v>1437</v>
      </c>
      <c r="C160" s="39">
        <v>120723.334725122</v>
      </c>
      <c r="D160" s="69">
        <f>IFERROR(FemalePayGapsByOccupationalSeriesAndRacialEthnicGroup[[#This Row],[White Female Employees]]/E$318,"")</f>
        <v>1.6911355580966402E-3</v>
      </c>
      <c r="E160" s="67">
        <v>772</v>
      </c>
      <c r="F160" s="64">
        <v>114674.556994819</v>
      </c>
      <c r="G160" s="72">
        <f>IFERROR(FemalePayGapsByOccupationalSeriesAndRacialEthnicGroup[[#This Row],[White Female Avg Salary]]/FemalePayGapsByOccupationalSeriesAndRacialEthnicGroup[[#This Row],[White Male Average Salary]],"")</f>
        <v>0.94989553805752946</v>
      </c>
      <c r="H160" s="10" t="str">
        <f>IFERROR(FemalePayGapsByOccupationalSeriesAndRacialEthnicGroup[[#This Row],[AIAN Female Employees]]/I$318,"")</f>
        <v/>
      </c>
      <c r="I160" t="s">
        <v>0</v>
      </c>
      <c r="J160" s="6" t="s">
        <v>0</v>
      </c>
      <c r="K160" s="52" t="str">
        <f>IFERROR(FemalePayGapsByOccupationalSeriesAndRacialEthnicGroup[[#This Row],[AIAN Female Avg Salary]]/FemalePayGapsByOccupationalSeriesAndRacialEthnicGroup[[#This Row],[White Male Average Salary]],"")</f>
        <v/>
      </c>
      <c r="L160" s="10">
        <f>IFERROR(FemalePayGapsByOccupationalSeriesAndRacialEthnicGroup[[#This Row],[ANHPI Female Employees]]/M$318,"")</f>
        <v>2.4471981918790429E-3</v>
      </c>
      <c r="M160" s="8">
        <v>157</v>
      </c>
      <c r="N160" s="6">
        <v>118691.95541401301</v>
      </c>
      <c r="O160" s="52">
        <f>IFERROR(FemalePayGapsByOccupationalSeriesAndRacialEthnicGroup[[#This Row],[ANHPI Female Avg Salary]]/FemalePayGapsByOccupationalSeriesAndRacialEthnicGroup[[#This Row],[White Male Average Salary]],"")</f>
        <v>0.9831732670760438</v>
      </c>
      <c r="P160" s="10">
        <f>IFERROR(FemalePayGapsByOccupationalSeriesAndRacialEthnicGroup[[#This Row],[Black Female Employees]]/Q$318,"")</f>
        <v>5.0851887935746023E-4</v>
      </c>
      <c r="Q160" s="8">
        <v>107</v>
      </c>
      <c r="R160" s="6">
        <v>124204.392523364</v>
      </c>
      <c r="S160" s="52">
        <f>IFERROR(FemalePayGapsByOccupationalSeriesAndRacialEthnicGroup[[#This Row],[Black Female Avg Salary]]/FemalePayGapsByOccupationalSeriesAndRacialEthnicGroup[[#This Row],[White Male Average Salary]],"")</f>
        <v>1.0288350036566511</v>
      </c>
      <c r="T160" s="10">
        <f>IFERROR(FemalePayGapsByOccupationalSeriesAndRacialEthnicGroup[[#This Row],[Hispanic Latino Female Employees]]/U$318,"")</f>
        <v>1.269019266019766E-3</v>
      </c>
      <c r="U160" s="8">
        <v>99</v>
      </c>
      <c r="V160" s="6">
        <v>114201.66666666701</v>
      </c>
      <c r="W160" s="52">
        <f>IFERROR(FemalePayGapsByOccupationalSeriesAndRacialEthnicGroup[[#This Row],[Hispanic Latino Female Avg Salary]]/FemalePayGapsByOccupationalSeriesAndRacialEthnicGroup[[#This Row],[White Male Average Salary]],"")</f>
        <v>0.94597839702403563</v>
      </c>
      <c r="X160" s="10" t="str">
        <f>IFERROR(FemalePayGapsByOccupationalSeriesAndRacialEthnicGroup[[#This Row],[Other Female Employees]]/Y$318,"")</f>
        <v/>
      </c>
      <c r="Y160" s="8" t="s">
        <v>0</v>
      </c>
      <c r="Z160" s="6" t="s">
        <v>0</v>
      </c>
      <c r="AA16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61" spans="1:27" ht="15.6" x14ac:dyDescent="0.3">
      <c r="A161" s="46" t="s">
        <v>326</v>
      </c>
      <c r="B161" s="40">
        <v>127</v>
      </c>
      <c r="C161" s="41">
        <v>103211.14173228299</v>
      </c>
      <c r="D161" s="70">
        <f>IFERROR(FemalePayGapsByOccupationalSeriesAndRacialEthnicGroup[[#This Row],[White Female Employees]]/E$318,"")</f>
        <v>5.9145932731359173E-5</v>
      </c>
      <c r="E161" s="16">
        <v>27</v>
      </c>
      <c r="F161" s="17">
        <v>100416.81481481501</v>
      </c>
      <c r="G161" s="18">
        <f>IFERROR(FemalePayGapsByOccupationalSeriesAndRacialEthnicGroup[[#This Row],[White Female Avg Salary]]/FemalePayGapsByOccupationalSeriesAndRacialEthnicGroup[[#This Row],[White Male Average Salary]],"")</f>
        <v>0.97292611174948407</v>
      </c>
      <c r="H161" s="10" t="str">
        <f>IFERROR(FemalePayGapsByOccupationalSeriesAndRacialEthnicGroup[[#This Row],[AIAN Female Employees]]/I$318,"")</f>
        <v/>
      </c>
      <c r="I161" t="s">
        <v>0</v>
      </c>
      <c r="J161" s="6" t="s">
        <v>0</v>
      </c>
      <c r="K161" s="52" t="str">
        <f>IFERROR(FemalePayGapsByOccupationalSeriesAndRacialEthnicGroup[[#This Row],[AIAN Female Avg Salary]]/FemalePayGapsByOccupationalSeriesAndRacialEthnicGroup[[#This Row],[White Male Average Salary]],"")</f>
        <v/>
      </c>
      <c r="L161" s="10" t="str">
        <f>IFERROR(FemalePayGapsByOccupationalSeriesAndRacialEthnicGroup[[#This Row],[ANHPI Female Employees]]/M$318,"")</f>
        <v/>
      </c>
      <c r="M161" s="8" t="s">
        <v>0</v>
      </c>
      <c r="N161" s="6" t="s">
        <v>0</v>
      </c>
      <c r="O161" s="52" t="str">
        <f>IFERROR(FemalePayGapsByOccupationalSeriesAndRacialEthnicGroup[[#This Row],[ANHPI Female Avg Salary]]/FemalePayGapsByOccupationalSeriesAndRacialEthnicGroup[[#This Row],[White Male Average Salary]],"")</f>
        <v/>
      </c>
      <c r="P161" s="10" t="str">
        <f>IFERROR(FemalePayGapsByOccupationalSeriesAndRacialEthnicGroup[[#This Row],[Black Female Employees]]/Q$318,"")</f>
        <v/>
      </c>
      <c r="Q161" s="8" t="s">
        <v>0</v>
      </c>
      <c r="R161" s="6" t="s">
        <v>0</v>
      </c>
      <c r="S161" s="52" t="str">
        <f>IFERROR(FemalePayGapsByOccupationalSeriesAndRacialEthnicGroup[[#This Row],[Black Female Avg Salary]]/FemalePayGapsByOccupationalSeriesAndRacialEthnicGroup[[#This Row],[White Male Average Salary]],"")</f>
        <v/>
      </c>
      <c r="T161" s="10" t="str">
        <f>IFERROR(FemalePayGapsByOccupationalSeriesAndRacialEthnicGroup[[#This Row],[Hispanic Latino Female Employees]]/U$318,"")</f>
        <v/>
      </c>
      <c r="U161" s="8" t="s">
        <v>0</v>
      </c>
      <c r="V161" s="6" t="s">
        <v>0</v>
      </c>
      <c r="W16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61" s="10" t="str">
        <f>IFERROR(FemalePayGapsByOccupationalSeriesAndRacialEthnicGroup[[#This Row],[Other Female Employees]]/Y$318,"")</f>
        <v/>
      </c>
      <c r="Y161" s="8" t="s">
        <v>0</v>
      </c>
      <c r="Z161" s="6" t="s">
        <v>0</v>
      </c>
      <c r="AA16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62" spans="1:27" ht="15.6" x14ac:dyDescent="0.3">
      <c r="A162" s="45" t="s">
        <v>171</v>
      </c>
      <c r="B162" s="38">
        <v>9349</v>
      </c>
      <c r="C162" s="39">
        <v>110225.448379159</v>
      </c>
      <c r="D162" s="69">
        <f>IFERROR(FemalePayGapsByOccupationalSeriesAndRacialEthnicGroup[[#This Row],[White Female Employees]]/E$318,"")</f>
        <v>2.5323221569426373E-3</v>
      </c>
      <c r="E162" s="67">
        <v>1156</v>
      </c>
      <c r="F162" s="64">
        <v>103914.217128028</v>
      </c>
      <c r="G162" s="72">
        <f>IFERROR(FemalePayGapsByOccupationalSeriesAndRacialEthnicGroup[[#This Row],[White Female Avg Salary]]/FemalePayGapsByOccupationalSeriesAndRacialEthnicGroup[[#This Row],[White Male Average Salary]],"")</f>
        <v>0.94274252140557135</v>
      </c>
      <c r="H162" s="10" t="str">
        <f>IFERROR(FemalePayGapsByOccupationalSeriesAndRacialEthnicGroup[[#This Row],[AIAN Female Employees]]/I$318,"")</f>
        <v/>
      </c>
      <c r="I162" t="s">
        <v>0</v>
      </c>
      <c r="J162" s="6" t="s">
        <v>0</v>
      </c>
      <c r="K162" s="52" t="str">
        <f>IFERROR(FemalePayGapsByOccupationalSeriesAndRacialEthnicGroup[[#This Row],[AIAN Female Avg Salary]]/FemalePayGapsByOccupationalSeriesAndRacialEthnicGroup[[#This Row],[White Male Average Salary]],"")</f>
        <v/>
      </c>
      <c r="L162" s="10">
        <f>IFERROR(FemalePayGapsByOccupationalSeriesAndRacialEthnicGroup[[#This Row],[ANHPI Female Employees]]/M$318,"")</f>
        <v>2.8524666822539162E-3</v>
      </c>
      <c r="M162" s="8">
        <v>183</v>
      </c>
      <c r="N162" s="6">
        <v>100514.453551913</v>
      </c>
      <c r="O162" s="52">
        <f>IFERROR(FemalePayGapsByOccupationalSeriesAndRacialEthnicGroup[[#This Row],[ANHPI Female Avg Salary]]/FemalePayGapsByOccupationalSeriesAndRacialEthnicGroup[[#This Row],[White Male Average Salary]],"")</f>
        <v>0.91189879496936466</v>
      </c>
      <c r="P162" s="10">
        <f>IFERROR(FemalePayGapsByOccupationalSeriesAndRacialEthnicGroup[[#This Row],[Black Female Employees]]/Q$318,"")</f>
        <v>4.7525128911912176E-4</v>
      </c>
      <c r="Q162" s="8">
        <v>100</v>
      </c>
      <c r="R162" s="6">
        <v>99492.31</v>
      </c>
      <c r="S162" s="52">
        <f>IFERROR(FemalePayGapsByOccupationalSeriesAndRacialEthnicGroup[[#This Row],[Black Female Avg Salary]]/FemalePayGapsByOccupationalSeriesAndRacialEthnicGroup[[#This Row],[White Male Average Salary]],"")</f>
        <v>0.90262558658651482</v>
      </c>
      <c r="T162" s="10">
        <f>IFERROR(FemalePayGapsByOccupationalSeriesAndRacialEthnicGroup[[#This Row],[Hispanic Latino Female Employees]]/U$318,"")</f>
        <v>2.3585812620973427E-3</v>
      </c>
      <c r="U162" s="8">
        <v>184</v>
      </c>
      <c r="V162" s="6">
        <v>97245.722826087003</v>
      </c>
      <c r="W162" s="52">
        <f>IFERROR(FemalePayGapsByOccupationalSeriesAndRacialEthnicGroup[[#This Row],[Hispanic Latino Female Avg Salary]]/FemalePayGapsByOccupationalSeriesAndRacialEthnicGroup[[#This Row],[White Male Average Salary]],"")</f>
        <v>0.88224383983974652</v>
      </c>
      <c r="X162" s="10">
        <f>IFERROR(FemalePayGapsByOccupationalSeriesAndRacialEthnicGroup[[#This Row],[Other Female Employees]]/Y$318,"")</f>
        <v>3.5611327793793456E-3</v>
      </c>
      <c r="Y162" s="8">
        <v>63</v>
      </c>
      <c r="Z162" s="6">
        <v>90822.523809524006</v>
      </c>
      <c r="AA162" s="1">
        <f>IFERROR(FemalePayGapsByOccupationalSeriesAndRacialEthnicGroup[[#This Row],[Other Female Avg Salary]]/FemalePayGapsByOccupationalSeriesAndRacialEthnicGroup[[#This Row],[White Male Average Salary]],"")</f>
        <v>0.82397055439600619</v>
      </c>
    </row>
    <row r="163" spans="1:27" ht="15.6" x14ac:dyDescent="0.3">
      <c r="A163" s="46" t="s">
        <v>172</v>
      </c>
      <c r="B163" s="40">
        <v>1894</v>
      </c>
      <c r="C163" s="41">
        <v>116362.57233368501</v>
      </c>
      <c r="D163" s="70">
        <f>IFERROR(FemalePayGapsByOccupationalSeriesAndRacialEthnicGroup[[#This Row],[White Female Employees]]/E$318,"")</f>
        <v>6.6374880065191958E-4</v>
      </c>
      <c r="E163" s="16">
        <v>303</v>
      </c>
      <c r="F163" s="17">
        <v>110357.87458745899</v>
      </c>
      <c r="G163" s="18">
        <f>IFERROR(FemalePayGapsByOccupationalSeriesAndRacialEthnicGroup[[#This Row],[White Female Avg Salary]]/FemalePayGapsByOccupationalSeriesAndRacialEthnicGroup[[#This Row],[White Male Average Salary]],"")</f>
        <v>0.94839665688201913</v>
      </c>
      <c r="H163" s="10" t="str">
        <f>IFERROR(FemalePayGapsByOccupationalSeriesAndRacialEthnicGroup[[#This Row],[AIAN Female Employees]]/I$318,"")</f>
        <v/>
      </c>
      <c r="I163" t="s">
        <v>0</v>
      </c>
      <c r="J163" s="6" t="s">
        <v>0</v>
      </c>
      <c r="K163" s="52" t="str">
        <f>IFERROR(FemalePayGapsByOccupationalSeriesAndRacialEthnicGroup[[#This Row],[AIAN Female Avg Salary]]/FemalePayGapsByOccupationalSeriesAndRacialEthnicGroup[[#This Row],[White Male Average Salary]],"")</f>
        <v/>
      </c>
      <c r="L163" s="10">
        <f>IFERROR(FemalePayGapsByOccupationalSeriesAndRacialEthnicGroup[[#This Row],[ANHPI Female Employees]]/M$318,"")</f>
        <v>1.2002182214948171E-3</v>
      </c>
      <c r="M163" s="8">
        <v>77</v>
      </c>
      <c r="N163" s="6">
        <v>97962.272727272997</v>
      </c>
      <c r="O163" s="52">
        <f>IFERROR(FemalePayGapsByOccupationalSeriesAndRacialEthnicGroup[[#This Row],[ANHPI Female Avg Salary]]/FemalePayGapsByOccupationalSeriesAndRacialEthnicGroup[[#This Row],[White Male Average Salary]],"")</f>
        <v>0.84187097932446242</v>
      </c>
      <c r="P163" s="10">
        <f>IFERROR(FemalePayGapsByOccupationalSeriesAndRacialEthnicGroup[[#This Row],[Black Female Employees]]/Q$318,"")</f>
        <v>1.9485302853883992E-4</v>
      </c>
      <c r="Q163" s="8">
        <v>41</v>
      </c>
      <c r="R163" s="6">
        <v>109670.243902439</v>
      </c>
      <c r="S163" s="52">
        <f>IFERROR(FemalePayGapsByOccupationalSeriesAndRacialEthnicGroup[[#This Row],[Black Female Avg Salary]]/FemalePayGapsByOccupationalSeriesAndRacialEthnicGroup[[#This Row],[White Male Average Salary]],"")</f>
        <v>0.9424872766472121</v>
      </c>
      <c r="T163" s="10">
        <f>IFERROR(FemalePayGapsByOccupationalSeriesAndRacialEthnicGroup[[#This Row],[Hispanic Latino Female Employees]]/U$318,"")</f>
        <v>2.5636752848884158E-4</v>
      </c>
      <c r="U163" s="8">
        <v>20</v>
      </c>
      <c r="V163" s="6">
        <v>104979.3</v>
      </c>
      <c r="W163" s="52">
        <f>IFERROR(FemalePayGapsByOccupationalSeriesAndRacialEthnicGroup[[#This Row],[Hispanic Latino Female Avg Salary]]/FemalePayGapsByOccupationalSeriesAndRacialEthnicGroup[[#This Row],[White Male Average Salary]],"")</f>
        <v>0.90217410886172256</v>
      </c>
      <c r="X163" s="10">
        <f>IFERROR(FemalePayGapsByOccupationalSeriesAndRacialEthnicGroup[[#This Row],[Other Female Employees]]/Y$318,"")</f>
        <v>1.5827256797241536E-3</v>
      </c>
      <c r="Y163" s="8">
        <v>28</v>
      </c>
      <c r="Z163" s="6">
        <v>96675.214285713999</v>
      </c>
      <c r="AA163" s="1">
        <f>IFERROR(FemalePayGapsByOccupationalSeriesAndRacialEthnicGroup[[#This Row],[Other Female Avg Salary]]/FemalePayGapsByOccupationalSeriesAndRacialEthnicGroup[[#This Row],[White Male Average Salary]],"")</f>
        <v>0.83081021970264701</v>
      </c>
    </row>
    <row r="164" spans="1:27" ht="15.6" x14ac:dyDescent="0.3">
      <c r="A164" s="45" t="s">
        <v>173</v>
      </c>
      <c r="B164" s="38">
        <v>3155</v>
      </c>
      <c r="C164" s="39">
        <v>115417.112555485</v>
      </c>
      <c r="D164" s="69">
        <f>IFERROR(FemalePayGapsByOccupationalSeriesAndRacialEthnicGroup[[#This Row],[White Female Employees]]/E$318,"")</f>
        <v>8.2585246813786698E-4</v>
      </c>
      <c r="E164" s="67">
        <v>377</v>
      </c>
      <c r="F164" s="64">
        <v>111693.96816976101</v>
      </c>
      <c r="G164" s="72">
        <f>IFERROR(FemalePayGapsByOccupationalSeriesAndRacialEthnicGroup[[#This Row],[White Female Avg Salary]]/FemalePayGapsByOccupationalSeriesAndRacialEthnicGroup[[#This Row],[White Male Average Salary]],"")</f>
        <v>0.96774183391623014</v>
      </c>
      <c r="H164" s="10" t="str">
        <f>IFERROR(FemalePayGapsByOccupationalSeriesAndRacialEthnicGroup[[#This Row],[AIAN Female Employees]]/I$318,"")</f>
        <v/>
      </c>
      <c r="I164" t="s">
        <v>0</v>
      </c>
      <c r="J164" s="6" t="s">
        <v>0</v>
      </c>
      <c r="K164" s="52" t="str">
        <f>IFERROR(FemalePayGapsByOccupationalSeriesAndRacialEthnicGroup[[#This Row],[AIAN Female Avg Salary]]/FemalePayGapsByOccupationalSeriesAndRacialEthnicGroup[[#This Row],[White Male Average Salary]],"")</f>
        <v/>
      </c>
      <c r="L164" s="10">
        <f>IFERROR(FemalePayGapsByOccupationalSeriesAndRacialEthnicGroup[[#This Row],[ANHPI Female Employees]]/M$318,"")</f>
        <v>2.4627854415088459E-3</v>
      </c>
      <c r="M164" s="8">
        <v>158</v>
      </c>
      <c r="N164" s="6">
        <v>111369.12025316501</v>
      </c>
      <c r="O164" s="52">
        <f>IFERROR(FemalePayGapsByOccupationalSeriesAndRacialEthnicGroup[[#This Row],[ANHPI Female Avg Salary]]/FemalePayGapsByOccupationalSeriesAndRacialEthnicGroup[[#This Row],[White Male Average Salary]],"")</f>
        <v>0.96492727800330313</v>
      </c>
      <c r="P164" s="10">
        <f>IFERROR(FemalePayGapsByOccupationalSeriesAndRacialEthnicGroup[[#This Row],[Black Female Employees]]/Q$318,"")</f>
        <v>4.3247867309840078E-4</v>
      </c>
      <c r="Q164" s="8">
        <v>91</v>
      </c>
      <c r="R164" s="6">
        <v>109648.428571429</v>
      </c>
      <c r="S164" s="52">
        <f>IFERROR(FemalePayGapsByOccupationalSeriesAndRacialEthnicGroup[[#This Row],[Black Female Avg Salary]]/FemalePayGapsByOccupationalSeriesAndRacialEthnicGroup[[#This Row],[White Male Average Salary]],"")</f>
        <v>0.9500188156129552</v>
      </c>
      <c r="T164" s="10">
        <f>IFERROR(FemalePayGapsByOccupationalSeriesAndRacialEthnicGroup[[#This Row],[Hispanic Latino Female Employees]]/U$318,"")</f>
        <v>9.2292310255982974E-4</v>
      </c>
      <c r="U164" s="8">
        <v>72</v>
      </c>
      <c r="V164" s="6">
        <v>109900.01388888901</v>
      </c>
      <c r="W164" s="52">
        <f>IFERROR(FemalePayGapsByOccupationalSeriesAndRacialEthnicGroup[[#This Row],[Hispanic Latino Female Avg Salary]]/FemalePayGapsByOccupationalSeriesAndRacialEthnicGroup[[#This Row],[White Male Average Salary]],"")</f>
        <v>0.95219860777626253</v>
      </c>
      <c r="X164" s="10">
        <f>IFERROR(FemalePayGapsByOccupationalSeriesAndRacialEthnicGroup[[#This Row],[Other Female Employees]]/Y$318,"")</f>
        <v>1.0739924255271042E-3</v>
      </c>
      <c r="Y164" s="8">
        <v>19</v>
      </c>
      <c r="Z164" s="6">
        <v>109714.57894736801</v>
      </c>
      <c r="AA164" s="1">
        <f>IFERROR(FemalePayGapsByOccupationalSeriesAndRacialEthnicGroup[[#This Row],[Other Female Avg Salary]]/FemalePayGapsByOccupationalSeriesAndRacialEthnicGroup[[#This Row],[White Male Average Salary]],"")</f>
        <v>0.95059195745019531</v>
      </c>
    </row>
    <row r="165" spans="1:27" ht="15.6" x14ac:dyDescent="0.3">
      <c r="A165" s="46" t="s">
        <v>174</v>
      </c>
      <c r="B165" s="40">
        <v>2427</v>
      </c>
      <c r="C165" s="41">
        <v>122773.857319588</v>
      </c>
      <c r="D165" s="70">
        <f>IFERROR(FemalePayGapsByOccupationalSeriesAndRacialEthnicGroup[[#This Row],[White Female Employees]]/E$318,"")</f>
        <v>8.6090190975645015E-4</v>
      </c>
      <c r="E165" s="16">
        <v>393</v>
      </c>
      <c r="F165" s="17">
        <v>124058.226463104</v>
      </c>
      <c r="G165" s="18">
        <f>IFERROR(FemalePayGapsByOccupationalSeriesAndRacialEthnicGroup[[#This Row],[White Female Avg Salary]]/FemalePayGapsByOccupationalSeriesAndRacialEthnicGroup[[#This Row],[White Male Average Salary]],"")</f>
        <v>1.0104612591927669</v>
      </c>
      <c r="H165" s="10" t="str">
        <f>IFERROR(FemalePayGapsByOccupationalSeriesAndRacialEthnicGroup[[#This Row],[AIAN Female Employees]]/I$318,"")</f>
        <v/>
      </c>
      <c r="I165" t="s">
        <v>0</v>
      </c>
      <c r="J165" s="6" t="s">
        <v>0</v>
      </c>
      <c r="K165" s="52" t="str">
        <f>IFERROR(FemalePayGapsByOccupationalSeriesAndRacialEthnicGroup[[#This Row],[AIAN Female Avg Salary]]/FemalePayGapsByOccupationalSeriesAndRacialEthnicGroup[[#This Row],[White Male Average Salary]],"")</f>
        <v/>
      </c>
      <c r="L165" s="10">
        <f>IFERROR(FemalePayGapsByOccupationalSeriesAndRacialEthnicGroup[[#This Row],[ANHPI Female Employees]]/M$318,"")</f>
        <v>3.226560673369184E-3</v>
      </c>
      <c r="M165" s="8">
        <v>207</v>
      </c>
      <c r="N165" s="6">
        <v>123838.207729469</v>
      </c>
      <c r="O165" s="52">
        <f>IFERROR(FemalePayGapsByOccupationalSeriesAndRacialEthnicGroup[[#This Row],[ANHPI Female Avg Salary]]/FemalePayGapsByOccupationalSeriesAndRacialEthnicGroup[[#This Row],[White Male Average Salary]],"")</f>
        <v>1.0086691941844788</v>
      </c>
      <c r="P165" s="10">
        <f>IFERROR(FemalePayGapsByOccupationalSeriesAndRacialEthnicGroup[[#This Row],[Black Female Employees]]/Q$318,"")</f>
        <v>4.37231185989592E-4</v>
      </c>
      <c r="Q165" s="8">
        <v>92</v>
      </c>
      <c r="R165" s="6">
        <v>127712.52173913</v>
      </c>
      <c r="S165" s="52">
        <f>IFERROR(FemalePayGapsByOccupationalSeriesAndRacialEthnicGroup[[#This Row],[Black Female Avg Salary]]/FemalePayGapsByOccupationalSeriesAndRacialEthnicGroup[[#This Row],[White Male Average Salary]],"")</f>
        <v>1.0402257005470337</v>
      </c>
      <c r="T165" s="10">
        <f>IFERROR(FemalePayGapsByOccupationalSeriesAndRacialEthnicGroup[[#This Row],[Hispanic Latino Female Employees]]/U$318,"")</f>
        <v>1.0767436196531348E-3</v>
      </c>
      <c r="U165" s="8">
        <v>84</v>
      </c>
      <c r="V165" s="6">
        <v>113844.928571429</v>
      </c>
      <c r="W165" s="52">
        <f>IFERROR(FemalePayGapsByOccupationalSeriesAndRacialEthnicGroup[[#This Row],[Hispanic Latino Female Avg Salary]]/FemalePayGapsByOccupationalSeriesAndRacialEthnicGroup[[#This Row],[White Male Average Salary]],"")</f>
        <v>0.92727337119565734</v>
      </c>
      <c r="X165" s="10" t="str">
        <f>IFERROR(FemalePayGapsByOccupationalSeriesAndRacialEthnicGroup[[#This Row],[Other Female Employees]]/Y$318,"")</f>
        <v/>
      </c>
      <c r="Y165" s="8" t="s">
        <v>0</v>
      </c>
      <c r="Z165" s="6" t="s">
        <v>0</v>
      </c>
      <c r="AA16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66" spans="1:27" ht="15.6" x14ac:dyDescent="0.3">
      <c r="A166" s="45" t="s">
        <v>175</v>
      </c>
      <c r="B166" s="38">
        <v>9311</v>
      </c>
      <c r="C166" s="39">
        <v>124826.687218045</v>
      </c>
      <c r="D166" s="69">
        <f>IFERROR(FemalePayGapsByOccupationalSeriesAndRacialEthnicGroup[[#This Row],[White Female Employees]]/E$318,"")</f>
        <v>2.1336347585312531E-3</v>
      </c>
      <c r="E166" s="67">
        <v>974</v>
      </c>
      <c r="F166" s="64">
        <v>121239.87885010301</v>
      </c>
      <c r="G166" s="72">
        <f>IFERROR(FemalePayGapsByOccupationalSeriesAndRacialEthnicGroup[[#This Row],[White Female Avg Salary]]/FemalePayGapsByOccupationalSeriesAndRacialEthnicGroup[[#This Row],[White Male Average Salary]],"")</f>
        <v>0.97126569287482079</v>
      </c>
      <c r="H166" s="10" t="str">
        <f>IFERROR(FemalePayGapsByOccupationalSeriesAndRacialEthnicGroup[[#This Row],[AIAN Female Employees]]/I$318,"")</f>
        <v/>
      </c>
      <c r="I166" t="s">
        <v>0</v>
      </c>
      <c r="J166" s="6" t="s">
        <v>0</v>
      </c>
      <c r="K166" s="52" t="str">
        <f>IFERROR(FemalePayGapsByOccupationalSeriesAndRacialEthnicGroup[[#This Row],[AIAN Female Avg Salary]]/FemalePayGapsByOccupationalSeriesAndRacialEthnicGroup[[#This Row],[White Male Average Salary]],"")</f>
        <v/>
      </c>
      <c r="L166" s="10">
        <f>IFERROR(FemalePayGapsByOccupationalSeriesAndRacialEthnicGroup[[#This Row],[ANHPI Female Employees]]/M$318,"")</f>
        <v>8.713272543059777E-3</v>
      </c>
      <c r="M166" s="8">
        <v>559</v>
      </c>
      <c r="N166" s="6">
        <v>119043.713774597</v>
      </c>
      <c r="O166" s="52">
        <f>IFERROR(FemalePayGapsByOccupationalSeriesAndRacialEthnicGroup[[#This Row],[ANHPI Female Avg Salary]]/FemalePayGapsByOccupationalSeriesAndRacialEthnicGroup[[#This Row],[White Male Average Salary]],"")</f>
        <v>0.95367197854617092</v>
      </c>
      <c r="P166" s="10">
        <f>IFERROR(FemalePayGapsByOccupationalSeriesAndRacialEthnicGroup[[#This Row],[Black Female Employees]]/Q$318,"")</f>
        <v>1.1120880165387448E-3</v>
      </c>
      <c r="Q166" s="8">
        <v>234</v>
      </c>
      <c r="R166" s="6">
        <v>117883.764957265</v>
      </c>
      <c r="S166" s="52">
        <f>IFERROR(FemalePayGapsByOccupationalSeriesAndRacialEthnicGroup[[#This Row],[Black Female Avg Salary]]/FemalePayGapsByOccupationalSeriesAndRacialEthnicGroup[[#This Row],[White Male Average Salary]],"")</f>
        <v>0.94437950397055537</v>
      </c>
      <c r="T166" s="10">
        <f>IFERROR(FemalePayGapsByOccupationalSeriesAndRacialEthnicGroup[[#This Row],[Hispanic Latino Female Employees]]/U$318,"")</f>
        <v>2.4739466499173217E-3</v>
      </c>
      <c r="U166" s="8">
        <v>193</v>
      </c>
      <c r="V166" s="6">
        <v>113927.33160621799</v>
      </c>
      <c r="W166" s="52">
        <f>IFERROR(FemalePayGapsByOccupationalSeriesAndRacialEthnicGroup[[#This Row],[Hispanic Latino Female Avg Salary]]/FemalePayGapsByOccupationalSeriesAndRacialEthnicGroup[[#This Row],[White Male Average Salary]],"")</f>
        <v>0.91268409140115836</v>
      </c>
      <c r="X166" s="10">
        <f>IFERROR(FemalePayGapsByOccupationalSeriesAndRacialEthnicGroup[[#This Row],[Other Female Employees]]/Y$318,"")</f>
        <v>2.9958736080492906E-3</v>
      </c>
      <c r="Y166" s="8">
        <v>53</v>
      </c>
      <c r="Z166" s="6">
        <v>101997.188679245</v>
      </c>
      <c r="AA166" s="1">
        <f>IFERROR(FemalePayGapsByOccupationalSeriesAndRacialEthnicGroup[[#This Row],[Other Female Avg Salary]]/FemalePayGapsByOccupationalSeriesAndRacialEthnicGroup[[#This Row],[White Male Average Salary]],"")</f>
        <v>0.81711043489504898</v>
      </c>
    </row>
    <row r="167" spans="1:27" ht="15.6" x14ac:dyDescent="0.3">
      <c r="A167" s="46" t="s">
        <v>176</v>
      </c>
      <c r="B167" s="40">
        <v>5806</v>
      </c>
      <c r="C167" s="41">
        <v>95851.022739017993</v>
      </c>
      <c r="D167" s="70">
        <f>IFERROR(FemalePayGapsByOccupationalSeriesAndRacialEthnicGroup[[#This Row],[White Female Employees]]/E$318,"")</f>
        <v>5.1697926387410246E-4</v>
      </c>
      <c r="E167" s="16">
        <v>236</v>
      </c>
      <c r="F167" s="17">
        <v>93312.635593219995</v>
      </c>
      <c r="G167" s="18">
        <f>IFERROR(FemalePayGapsByOccupationalSeriesAndRacialEthnicGroup[[#This Row],[White Female Avg Salary]]/FemalePayGapsByOccupationalSeriesAndRacialEthnicGroup[[#This Row],[White Male Average Salary]],"")</f>
        <v>0.97351737025582408</v>
      </c>
      <c r="H167" s="10" t="str">
        <f>IFERROR(FemalePayGapsByOccupationalSeriesAndRacialEthnicGroup[[#This Row],[AIAN Female Employees]]/I$318,"")</f>
        <v/>
      </c>
      <c r="I167" t="s">
        <v>0</v>
      </c>
      <c r="J167" s="6" t="s">
        <v>0</v>
      </c>
      <c r="K167" s="52" t="str">
        <f>IFERROR(FemalePayGapsByOccupationalSeriesAndRacialEthnicGroup[[#This Row],[AIAN Female Avg Salary]]/FemalePayGapsByOccupationalSeriesAndRacialEthnicGroup[[#This Row],[White Male Average Salary]],"")</f>
        <v/>
      </c>
      <c r="L167" s="10">
        <f>IFERROR(FemalePayGapsByOccupationalSeriesAndRacialEthnicGroup[[#This Row],[ANHPI Female Employees]]/M$318,"")</f>
        <v>4.9879198815369033E-4</v>
      </c>
      <c r="M167" s="8">
        <v>32</v>
      </c>
      <c r="N167" s="6">
        <v>94378</v>
      </c>
      <c r="O167" s="52">
        <f>IFERROR(FemalePayGapsByOccupationalSeriesAndRacialEthnicGroup[[#This Row],[ANHPI Female Avg Salary]]/FemalePayGapsByOccupationalSeriesAndRacialEthnicGroup[[#This Row],[White Male Average Salary]],"")</f>
        <v>0.98463216461415626</v>
      </c>
      <c r="P167" s="10">
        <f>IFERROR(FemalePayGapsByOccupationalSeriesAndRacialEthnicGroup[[#This Row],[Black Female Employees]]/Q$318,"")</f>
        <v>2.0435805432122235E-4</v>
      </c>
      <c r="Q167" s="8">
        <v>43</v>
      </c>
      <c r="R167" s="6">
        <v>88020.325581394995</v>
      </c>
      <c r="S167" s="52">
        <f>IFERROR(FemalePayGapsByOccupationalSeriesAndRacialEthnicGroup[[#This Row],[Black Female Avg Salary]]/FemalePayGapsByOccupationalSeriesAndRacialEthnicGroup[[#This Row],[White Male Average Salary]],"")</f>
        <v>0.91830345745037767</v>
      </c>
      <c r="T167" s="10">
        <f>IFERROR(FemalePayGapsByOccupationalSeriesAndRacialEthnicGroup[[#This Row],[Hispanic Latino Female Employees]]/U$318,"")</f>
        <v>6.2810044479766195E-4</v>
      </c>
      <c r="U167" s="8">
        <v>49</v>
      </c>
      <c r="V167" s="6">
        <v>87626.816326531</v>
      </c>
      <c r="W167" s="52">
        <f>IFERROR(FemalePayGapsByOccupationalSeriesAndRacialEthnicGroup[[#This Row],[Hispanic Latino Female Avg Salary]]/FemalePayGapsByOccupationalSeriesAndRacialEthnicGroup[[#This Row],[White Male Average Salary]],"")</f>
        <v>0.91419803172179226</v>
      </c>
      <c r="X167" s="10">
        <f>IFERROR(FemalePayGapsByOccupationalSeriesAndRacialEthnicGroup[[#This Row],[Other Female Employees]]/Y$318,"")</f>
        <v>1.1870442597931151E-3</v>
      </c>
      <c r="Y167" s="8">
        <v>21</v>
      </c>
      <c r="Z167" s="6">
        <v>86011.047619047997</v>
      </c>
      <c r="AA167" s="1">
        <f>IFERROR(FemalePayGapsByOccupationalSeriesAndRacialEthnicGroup[[#This Row],[Other Female Avg Salary]]/FemalePayGapsByOccupationalSeriesAndRacialEthnicGroup[[#This Row],[White Male Average Salary]],"")</f>
        <v>0.89734094807979081</v>
      </c>
    </row>
    <row r="168" spans="1:27" ht="31.2" x14ac:dyDescent="0.3">
      <c r="A168" s="45" t="s">
        <v>177</v>
      </c>
      <c r="B168" s="38">
        <v>291</v>
      </c>
      <c r="C168" s="39">
        <v>123588.19243986301</v>
      </c>
      <c r="D168" s="69">
        <f>IFERROR(FemalePayGapsByOccupationalSeriesAndRacialEthnicGroup[[#This Row],[White Female Employees]]/E$318,"")</f>
        <v>4.9726395296364936E-4</v>
      </c>
      <c r="E168" s="67">
        <v>227</v>
      </c>
      <c r="F168" s="64">
        <v>113637.52863436101</v>
      </c>
      <c r="G168" s="72">
        <f>IFERROR(FemalePayGapsByOccupationalSeriesAndRacialEthnicGroup[[#This Row],[White Female Avg Salary]]/FemalePayGapsByOccupationalSeriesAndRacialEthnicGroup[[#This Row],[White Male Average Salary]],"")</f>
        <v>0.91948531968097269</v>
      </c>
      <c r="H168" s="10" t="str">
        <f>IFERROR(FemalePayGapsByOccupationalSeriesAndRacialEthnicGroup[[#This Row],[AIAN Female Employees]]/I$318,"")</f>
        <v/>
      </c>
      <c r="I168" t="s">
        <v>0</v>
      </c>
      <c r="J168" s="6" t="s">
        <v>0</v>
      </c>
      <c r="K168" s="52" t="str">
        <f>IFERROR(FemalePayGapsByOccupationalSeriesAndRacialEthnicGroup[[#This Row],[AIAN Female Avg Salary]]/FemalePayGapsByOccupationalSeriesAndRacialEthnicGroup[[#This Row],[White Male Average Salary]],"")</f>
        <v/>
      </c>
      <c r="L168" s="10">
        <f>IFERROR(FemalePayGapsByOccupationalSeriesAndRacialEthnicGroup[[#This Row],[ANHPI Female Employees]]/M$318,"")</f>
        <v>9.6640947704777487E-4</v>
      </c>
      <c r="M168" s="8">
        <v>62</v>
      </c>
      <c r="N168" s="6">
        <v>124310.983870968</v>
      </c>
      <c r="O168" s="52">
        <f>IFERROR(FemalePayGapsByOccupationalSeriesAndRacialEthnicGroup[[#This Row],[ANHPI Female Avg Salary]]/FemalePayGapsByOccupationalSeriesAndRacialEthnicGroup[[#This Row],[White Male Average Salary]],"")</f>
        <v>1.0058483858112635</v>
      </c>
      <c r="P168" s="10" t="str">
        <f>IFERROR(FemalePayGapsByOccupationalSeriesAndRacialEthnicGroup[[#This Row],[Black Female Employees]]/Q$318,"")</f>
        <v/>
      </c>
      <c r="Q168" s="8" t="s">
        <v>0</v>
      </c>
      <c r="R168" s="6" t="s">
        <v>0</v>
      </c>
      <c r="S168" s="52" t="str">
        <f>IFERROR(FemalePayGapsByOccupationalSeriesAndRacialEthnicGroup[[#This Row],[Black Female Avg Salary]]/FemalePayGapsByOccupationalSeriesAndRacialEthnicGroup[[#This Row],[White Male Average Salary]],"")</f>
        <v/>
      </c>
      <c r="T168" s="10" t="str">
        <f>IFERROR(FemalePayGapsByOccupationalSeriesAndRacialEthnicGroup[[#This Row],[Hispanic Latino Female Employees]]/U$318,"")</f>
        <v/>
      </c>
      <c r="U168" s="8" t="s">
        <v>0</v>
      </c>
      <c r="V168" s="6" t="s">
        <v>0</v>
      </c>
      <c r="W16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68" s="10" t="str">
        <f>IFERROR(FemalePayGapsByOccupationalSeriesAndRacialEthnicGroup[[#This Row],[Other Female Employees]]/Y$318,"")</f>
        <v/>
      </c>
      <c r="Y168" s="8" t="s">
        <v>0</v>
      </c>
      <c r="Z168" s="6" t="s">
        <v>0</v>
      </c>
      <c r="AA16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69" spans="1:27" ht="15.6" x14ac:dyDescent="0.3">
      <c r="A169" s="46" t="s">
        <v>178</v>
      </c>
      <c r="B169" s="40">
        <v>5969</v>
      </c>
      <c r="C169" s="41">
        <v>129981.132182945</v>
      </c>
      <c r="D169" s="70">
        <f>IFERROR(FemalePayGapsByOccupationalSeriesAndRacialEthnicGroup[[#This Row],[White Female Employees]]/E$318,"")</f>
        <v>2.6089928104832882E-3</v>
      </c>
      <c r="E169" s="16">
        <v>1191</v>
      </c>
      <c r="F169" s="17">
        <v>128545.50336134501</v>
      </c>
      <c r="G169" s="18">
        <f>IFERROR(FemalePayGapsByOccupationalSeriesAndRacialEthnicGroup[[#This Row],[White Female Avg Salary]]/FemalePayGapsByOccupationalSeriesAndRacialEthnicGroup[[#This Row],[White Male Average Salary]],"")</f>
        <v>0.98895509834781725</v>
      </c>
      <c r="H169" s="10" t="str">
        <f>IFERROR(FemalePayGapsByOccupationalSeriesAndRacialEthnicGroup[[#This Row],[AIAN Female Employees]]/I$318,"")</f>
        <v/>
      </c>
      <c r="I169" t="s">
        <v>0</v>
      </c>
      <c r="J169" s="6" t="s">
        <v>0</v>
      </c>
      <c r="K169" s="52" t="str">
        <f>IFERROR(FemalePayGapsByOccupationalSeriesAndRacialEthnicGroup[[#This Row],[AIAN Female Avg Salary]]/FemalePayGapsByOccupationalSeriesAndRacialEthnicGroup[[#This Row],[White Male Average Salary]],"")</f>
        <v/>
      </c>
      <c r="L169" s="10">
        <f>IFERROR(FemalePayGapsByOccupationalSeriesAndRacialEthnicGroup[[#This Row],[ANHPI Female Employees]]/M$318,"")</f>
        <v>2.5563089392876626E-3</v>
      </c>
      <c r="M169" s="8">
        <v>164</v>
      </c>
      <c r="N169" s="6">
        <v>127619.75</v>
      </c>
      <c r="O169" s="52">
        <f>IFERROR(FemalePayGapsByOccupationalSeriesAndRacialEthnicGroup[[#This Row],[ANHPI Female Avg Salary]]/FemalePayGapsByOccupationalSeriesAndRacialEthnicGroup[[#This Row],[White Male Average Salary]],"")</f>
        <v>0.98183288494809062</v>
      </c>
      <c r="P169" s="10">
        <f>IFERROR(FemalePayGapsByOccupationalSeriesAndRacialEthnicGroup[[#This Row],[Black Female Employees]]/Q$318,"")</f>
        <v>5.2752893092222514E-4</v>
      </c>
      <c r="Q169" s="8">
        <v>111</v>
      </c>
      <c r="R169" s="6">
        <v>136098.00900900899</v>
      </c>
      <c r="S169" s="52">
        <f>IFERROR(FemalePayGapsByOccupationalSeriesAndRacialEthnicGroup[[#This Row],[Black Female Avg Salary]]/FemalePayGapsByOccupationalSeriesAndRacialEthnicGroup[[#This Row],[White Male Average Salary]],"")</f>
        <v>1.0470597287724395</v>
      </c>
      <c r="T169" s="10">
        <f>IFERROR(FemalePayGapsByOccupationalSeriesAndRacialEthnicGroup[[#This Row],[Hispanic Latino Female Employees]]/U$318,"")</f>
        <v>1.8073910758463333E-3</v>
      </c>
      <c r="U169" s="8">
        <v>141</v>
      </c>
      <c r="V169" s="6">
        <v>121759.602836879</v>
      </c>
      <c r="W169" s="52">
        <f>IFERROR(FemalePayGapsByOccupationalSeriesAndRacialEthnicGroup[[#This Row],[Hispanic Latino Female Avg Salary]]/FemalePayGapsByOccupationalSeriesAndRacialEthnicGroup[[#This Row],[White Male Average Salary]],"")</f>
        <v>0.9367482864013339</v>
      </c>
      <c r="X169" s="10">
        <f>IFERROR(FemalePayGapsByOccupationalSeriesAndRacialEthnicGroup[[#This Row],[Other Female Employees]]/Y$318,"")</f>
        <v>1.5827256797241536E-3</v>
      </c>
      <c r="Y169" s="8">
        <v>28</v>
      </c>
      <c r="Z169" s="6">
        <v>110279.428571429</v>
      </c>
      <c r="AA169" s="1">
        <f>IFERROR(FemalePayGapsByOccupationalSeriesAndRacialEthnicGroup[[#This Row],[Other Female Avg Salary]]/FemalePayGapsByOccupationalSeriesAndRacialEthnicGroup[[#This Row],[White Male Average Salary]],"")</f>
        <v>0.84842643481681346</v>
      </c>
    </row>
    <row r="170" spans="1:27" ht="15.6" x14ac:dyDescent="0.3">
      <c r="A170" s="45" t="s">
        <v>179</v>
      </c>
      <c r="B170" s="38">
        <v>626</v>
      </c>
      <c r="C170" s="39">
        <v>120422.71086262001</v>
      </c>
      <c r="D170" s="69">
        <f>IFERROR(FemalePayGapsByOccupationalSeriesAndRacialEthnicGroup[[#This Row],[White Female Employees]]/E$318,"")</f>
        <v>2.5410845173472831E-4</v>
      </c>
      <c r="E170" s="67">
        <v>116</v>
      </c>
      <c r="F170" s="64">
        <v>110219.99137931</v>
      </c>
      <c r="G170" s="72">
        <f>IFERROR(FemalePayGapsByOccupationalSeriesAndRacialEthnicGroup[[#This Row],[White Female Avg Salary]]/FemalePayGapsByOccupationalSeriesAndRacialEthnicGroup[[#This Row],[White Male Average Salary]],"")</f>
        <v>0.91527578635105289</v>
      </c>
      <c r="H170" s="10" t="str">
        <f>IFERROR(FemalePayGapsByOccupationalSeriesAndRacialEthnicGroup[[#This Row],[AIAN Female Employees]]/I$318,"")</f>
        <v/>
      </c>
      <c r="I170" t="s">
        <v>0</v>
      </c>
      <c r="J170" s="6" t="s">
        <v>0</v>
      </c>
      <c r="K170" s="52" t="str">
        <f>IFERROR(FemalePayGapsByOccupationalSeriesAndRacialEthnicGroup[[#This Row],[AIAN Female Avg Salary]]/FemalePayGapsByOccupationalSeriesAndRacialEthnicGroup[[#This Row],[White Male Average Salary]],"")</f>
        <v/>
      </c>
      <c r="L170" s="10">
        <f>IFERROR(FemalePayGapsByOccupationalSeriesAndRacialEthnicGroup[[#This Row],[ANHPI Female Employees]]/M$318,"")</f>
        <v>3.2733224222585927E-4</v>
      </c>
      <c r="M170" s="8">
        <v>21</v>
      </c>
      <c r="N170" s="6">
        <v>100895.238095238</v>
      </c>
      <c r="O170" s="52">
        <f>IFERROR(FemalePayGapsByOccupationalSeriesAndRacialEthnicGroup[[#This Row],[ANHPI Female Avg Salary]]/FemalePayGapsByOccupationalSeriesAndRacialEthnicGroup[[#This Row],[White Male Average Salary]],"")</f>
        <v>0.83784227553505897</v>
      </c>
      <c r="P170" s="10" t="str">
        <f>IFERROR(FemalePayGapsByOccupationalSeriesAndRacialEthnicGroup[[#This Row],[Black Female Employees]]/Q$318,"")</f>
        <v/>
      </c>
      <c r="Q170" s="8" t="s">
        <v>0</v>
      </c>
      <c r="R170" s="6" t="s">
        <v>0</v>
      </c>
      <c r="S170" s="52" t="str">
        <f>IFERROR(FemalePayGapsByOccupationalSeriesAndRacialEthnicGroup[[#This Row],[Black Female Avg Salary]]/FemalePayGapsByOccupationalSeriesAndRacialEthnicGroup[[#This Row],[White Male Average Salary]],"")</f>
        <v/>
      </c>
      <c r="T170" s="10" t="str">
        <f>IFERROR(FemalePayGapsByOccupationalSeriesAndRacialEthnicGroup[[#This Row],[Hispanic Latino Female Employees]]/U$318,"")</f>
        <v/>
      </c>
      <c r="U170" s="8" t="s">
        <v>0</v>
      </c>
      <c r="V170" s="6" t="s">
        <v>0</v>
      </c>
      <c r="W17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70" s="10" t="str">
        <f>IFERROR(FemalePayGapsByOccupationalSeriesAndRacialEthnicGroup[[#This Row],[Other Female Employees]]/Y$318,"")</f>
        <v/>
      </c>
      <c r="Y170" s="8" t="s">
        <v>0</v>
      </c>
      <c r="Z170" s="6" t="s">
        <v>0</v>
      </c>
      <c r="AA17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71" spans="1:27" ht="15.6" x14ac:dyDescent="0.3">
      <c r="A171" s="46" t="s">
        <v>180</v>
      </c>
      <c r="B171" s="40">
        <v>107</v>
      </c>
      <c r="C171" s="41">
        <v>107425.813084112</v>
      </c>
      <c r="D171" s="70">
        <f>IFERROR(FemalePayGapsByOccupationalSeriesAndRacialEthnicGroup[[#This Row],[White Female Employees]]/E$318,"")</f>
        <v>6.5717703034843528E-6</v>
      </c>
      <c r="E171" s="16">
        <v>3</v>
      </c>
      <c r="F171" s="17">
        <v>99426.666666667006</v>
      </c>
      <c r="G171" s="18">
        <f>IFERROR(FemalePayGapsByOccupationalSeriesAndRacialEthnicGroup[[#This Row],[White Female Avg Salary]]/FemalePayGapsByOccupationalSeriesAndRacialEthnicGroup[[#This Row],[White Male Average Salary]],"")</f>
        <v>0.92553794858241523</v>
      </c>
      <c r="H171" s="10" t="str">
        <f>IFERROR(FemalePayGapsByOccupationalSeriesAndRacialEthnicGroup[[#This Row],[AIAN Female Employees]]/I$318,"")</f>
        <v/>
      </c>
      <c r="I171" t="s">
        <v>0</v>
      </c>
      <c r="J171" s="6" t="s">
        <v>0</v>
      </c>
      <c r="K171" s="52" t="str">
        <f>IFERROR(FemalePayGapsByOccupationalSeriesAndRacialEthnicGroup[[#This Row],[AIAN Female Avg Salary]]/FemalePayGapsByOccupationalSeriesAndRacialEthnicGroup[[#This Row],[White Male Average Salary]],"")</f>
        <v/>
      </c>
      <c r="L171" s="10" t="str">
        <f>IFERROR(FemalePayGapsByOccupationalSeriesAndRacialEthnicGroup[[#This Row],[ANHPI Female Employees]]/M$318,"")</f>
        <v/>
      </c>
      <c r="M171" s="8" t="s">
        <v>0</v>
      </c>
      <c r="N171" s="6" t="s">
        <v>0</v>
      </c>
      <c r="O171" s="52" t="str">
        <f>IFERROR(FemalePayGapsByOccupationalSeriesAndRacialEthnicGroup[[#This Row],[ANHPI Female Avg Salary]]/FemalePayGapsByOccupationalSeriesAndRacialEthnicGroup[[#This Row],[White Male Average Salary]],"")</f>
        <v/>
      </c>
      <c r="P171" s="10" t="str">
        <f>IFERROR(FemalePayGapsByOccupationalSeriesAndRacialEthnicGroup[[#This Row],[Black Female Employees]]/Q$318,"")</f>
        <v/>
      </c>
      <c r="Q171" s="8" t="s">
        <v>0</v>
      </c>
      <c r="R171" s="6" t="s">
        <v>0</v>
      </c>
      <c r="S171" s="52" t="str">
        <f>IFERROR(FemalePayGapsByOccupationalSeriesAndRacialEthnicGroup[[#This Row],[Black Female Avg Salary]]/FemalePayGapsByOccupationalSeriesAndRacialEthnicGroup[[#This Row],[White Male Average Salary]],"")</f>
        <v/>
      </c>
      <c r="T171" s="10" t="str">
        <f>IFERROR(FemalePayGapsByOccupationalSeriesAndRacialEthnicGroup[[#This Row],[Hispanic Latino Female Employees]]/U$318,"")</f>
        <v/>
      </c>
      <c r="U171" s="8" t="s">
        <v>0</v>
      </c>
      <c r="V171" s="6" t="s">
        <v>0</v>
      </c>
      <c r="W17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71" s="10" t="str">
        <f>IFERROR(FemalePayGapsByOccupationalSeriesAndRacialEthnicGroup[[#This Row],[Other Female Employees]]/Y$318,"")</f>
        <v/>
      </c>
      <c r="Y171" s="8" t="s">
        <v>0</v>
      </c>
      <c r="Z171" s="6" t="s">
        <v>0</v>
      </c>
      <c r="AA17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72" spans="1:27" ht="15.6" x14ac:dyDescent="0.3">
      <c r="A172" s="45" t="s">
        <v>181</v>
      </c>
      <c r="B172" s="38">
        <v>181</v>
      </c>
      <c r="C172" s="39">
        <v>125002.683333333</v>
      </c>
      <c r="D172" s="69">
        <f>IFERROR(FemalePayGapsByOccupationalSeriesAndRacialEthnicGroup[[#This Row],[White Female Employees]]/E$318,"")</f>
        <v>1.0076714465342673E-4</v>
      </c>
      <c r="E172" s="67">
        <v>46</v>
      </c>
      <c r="F172" s="64">
        <v>123054.347826087</v>
      </c>
      <c r="G172" s="72">
        <f>IFERROR(FemalePayGapsByOccupationalSeriesAndRacialEthnicGroup[[#This Row],[White Female Avg Salary]]/FemalePayGapsByOccupationalSeriesAndRacialEthnicGroup[[#This Row],[White Male Average Salary]],"")</f>
        <v>0.98441365052900065</v>
      </c>
      <c r="H172" s="10" t="str">
        <f>IFERROR(FemalePayGapsByOccupationalSeriesAndRacialEthnicGroup[[#This Row],[AIAN Female Employees]]/I$318,"")</f>
        <v/>
      </c>
      <c r="I172" t="s">
        <v>0</v>
      </c>
      <c r="J172" s="6" t="s">
        <v>0</v>
      </c>
      <c r="K172" s="52" t="str">
        <f>IFERROR(FemalePayGapsByOccupationalSeriesAndRacialEthnicGroup[[#This Row],[AIAN Female Avg Salary]]/FemalePayGapsByOccupationalSeriesAndRacialEthnicGroup[[#This Row],[White Male Average Salary]],"")</f>
        <v/>
      </c>
      <c r="L172" s="10" t="str">
        <f>IFERROR(FemalePayGapsByOccupationalSeriesAndRacialEthnicGroup[[#This Row],[ANHPI Female Employees]]/M$318,"")</f>
        <v/>
      </c>
      <c r="M172" s="8" t="s">
        <v>0</v>
      </c>
      <c r="N172" s="6" t="s">
        <v>0</v>
      </c>
      <c r="O172" s="52" t="str">
        <f>IFERROR(FemalePayGapsByOccupationalSeriesAndRacialEthnicGroup[[#This Row],[ANHPI Female Avg Salary]]/FemalePayGapsByOccupationalSeriesAndRacialEthnicGroup[[#This Row],[White Male Average Salary]],"")</f>
        <v/>
      </c>
      <c r="P172" s="10" t="str">
        <f>IFERROR(FemalePayGapsByOccupationalSeriesAndRacialEthnicGroup[[#This Row],[Black Female Employees]]/Q$318,"")</f>
        <v/>
      </c>
      <c r="Q172" s="8" t="s">
        <v>0</v>
      </c>
      <c r="R172" s="6" t="s">
        <v>0</v>
      </c>
      <c r="S172" s="52" t="str">
        <f>IFERROR(FemalePayGapsByOccupationalSeriesAndRacialEthnicGroup[[#This Row],[Black Female Avg Salary]]/FemalePayGapsByOccupationalSeriesAndRacialEthnicGroup[[#This Row],[White Male Average Salary]],"")</f>
        <v/>
      </c>
      <c r="T172" s="10" t="str">
        <f>IFERROR(FemalePayGapsByOccupationalSeriesAndRacialEthnicGroup[[#This Row],[Hispanic Latino Female Employees]]/U$318,"")</f>
        <v/>
      </c>
      <c r="U172" s="8" t="s">
        <v>0</v>
      </c>
      <c r="V172" s="6" t="s">
        <v>0</v>
      </c>
      <c r="W17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72" s="10" t="str">
        <f>IFERROR(FemalePayGapsByOccupationalSeriesAndRacialEthnicGroup[[#This Row],[Other Female Employees]]/Y$318,"")</f>
        <v/>
      </c>
      <c r="Y172" s="8" t="s">
        <v>0</v>
      </c>
      <c r="Z172" s="6" t="s">
        <v>0</v>
      </c>
      <c r="AA17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73" spans="1:27" ht="15.6" x14ac:dyDescent="0.3">
      <c r="A173" s="46" t="s">
        <v>182</v>
      </c>
      <c r="B173" s="40">
        <v>209</v>
      </c>
      <c r="C173" s="41">
        <v>98090.167464115002</v>
      </c>
      <c r="D173" s="70">
        <f>IFERROR(FemalePayGapsByOccupationalSeriesAndRacialEthnicGroup[[#This Row],[White Female Employees]]/E$318,"")</f>
        <v>1.423883565754943E-4</v>
      </c>
      <c r="E173" s="16">
        <v>65</v>
      </c>
      <c r="F173" s="17">
        <v>80008.538461538003</v>
      </c>
      <c r="G173" s="18">
        <f>IFERROR(FemalePayGapsByOccupationalSeriesAndRacialEthnicGroup[[#This Row],[White Female Avg Salary]]/FemalePayGapsByOccupationalSeriesAndRacialEthnicGroup[[#This Row],[White Male Average Salary]],"")</f>
        <v>0.8156631855155928</v>
      </c>
      <c r="H173" s="10" t="str">
        <f>IFERROR(FemalePayGapsByOccupationalSeriesAndRacialEthnicGroup[[#This Row],[AIAN Female Employees]]/I$318,"")</f>
        <v/>
      </c>
      <c r="I173" t="s">
        <v>0</v>
      </c>
      <c r="J173" s="6" t="s">
        <v>0</v>
      </c>
      <c r="K173" s="52" t="str">
        <f>IFERROR(FemalePayGapsByOccupationalSeriesAndRacialEthnicGroup[[#This Row],[AIAN Female Avg Salary]]/FemalePayGapsByOccupationalSeriesAndRacialEthnicGroup[[#This Row],[White Male Average Salary]],"")</f>
        <v/>
      </c>
      <c r="L173" s="10" t="str">
        <f>IFERROR(FemalePayGapsByOccupationalSeriesAndRacialEthnicGroup[[#This Row],[ANHPI Female Employees]]/M$318,"")</f>
        <v/>
      </c>
      <c r="M173" s="8" t="s">
        <v>0</v>
      </c>
      <c r="N173" s="6" t="s">
        <v>0</v>
      </c>
      <c r="O173" s="52" t="str">
        <f>IFERROR(FemalePayGapsByOccupationalSeriesAndRacialEthnicGroup[[#This Row],[ANHPI Female Avg Salary]]/FemalePayGapsByOccupationalSeriesAndRacialEthnicGroup[[#This Row],[White Male Average Salary]],"")</f>
        <v/>
      </c>
      <c r="P173" s="10" t="str">
        <f>IFERROR(FemalePayGapsByOccupationalSeriesAndRacialEthnicGroup[[#This Row],[Black Female Employees]]/Q$318,"")</f>
        <v/>
      </c>
      <c r="Q173" s="8" t="s">
        <v>0</v>
      </c>
      <c r="R173" s="6" t="s">
        <v>0</v>
      </c>
      <c r="S173" s="52" t="str">
        <f>IFERROR(FemalePayGapsByOccupationalSeriesAndRacialEthnicGroup[[#This Row],[Black Female Avg Salary]]/FemalePayGapsByOccupationalSeriesAndRacialEthnicGroup[[#This Row],[White Male Average Salary]],"")</f>
        <v/>
      </c>
      <c r="T173" s="10" t="str">
        <f>IFERROR(FemalePayGapsByOccupationalSeriesAndRacialEthnicGroup[[#This Row],[Hispanic Latino Female Employees]]/U$318,"")</f>
        <v/>
      </c>
      <c r="U173" s="8" t="s">
        <v>0</v>
      </c>
      <c r="V173" s="6" t="s">
        <v>0</v>
      </c>
      <c r="W17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73" s="10" t="str">
        <f>IFERROR(FemalePayGapsByOccupationalSeriesAndRacialEthnicGroup[[#This Row],[Other Female Employees]]/Y$318,"")</f>
        <v/>
      </c>
      <c r="Y173" s="8" t="s">
        <v>0</v>
      </c>
      <c r="Z173" s="6" t="s">
        <v>0</v>
      </c>
      <c r="AA17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74" spans="1:27" ht="15.6" x14ac:dyDescent="0.3">
      <c r="A174" s="45" t="s">
        <v>183</v>
      </c>
      <c r="B174" s="38">
        <v>459</v>
      </c>
      <c r="C174" s="39">
        <v>126330.849673203</v>
      </c>
      <c r="D174" s="69">
        <f>IFERROR(FemalePayGapsByOccupationalSeriesAndRacialEthnicGroup[[#This Row],[White Female Employees]]/E$318,"")</f>
        <v>4.4249920043461309E-4</v>
      </c>
      <c r="E174" s="67">
        <v>202</v>
      </c>
      <c r="F174" s="64">
        <v>119534.89108910901</v>
      </c>
      <c r="G174" s="72">
        <f>IFERROR(FemalePayGapsByOccupationalSeriesAndRacialEthnicGroup[[#This Row],[White Female Avg Salary]]/FemalePayGapsByOccupationalSeriesAndRacialEthnicGroup[[#This Row],[White Male Average Salary]],"")</f>
        <v>0.94620507499416007</v>
      </c>
      <c r="H174" s="10" t="str">
        <f>IFERROR(FemalePayGapsByOccupationalSeriesAndRacialEthnicGroup[[#This Row],[AIAN Female Employees]]/I$318,"")</f>
        <v/>
      </c>
      <c r="I174" t="s">
        <v>0</v>
      </c>
      <c r="J174" s="6" t="s">
        <v>0</v>
      </c>
      <c r="K174" s="52" t="str">
        <f>IFERROR(FemalePayGapsByOccupationalSeriesAndRacialEthnicGroup[[#This Row],[AIAN Female Avg Salary]]/FemalePayGapsByOccupationalSeriesAndRacialEthnicGroup[[#This Row],[White Male Average Salary]],"")</f>
        <v/>
      </c>
      <c r="L174" s="10">
        <f>IFERROR(FemalePayGapsByOccupationalSeriesAndRacialEthnicGroup[[#This Row],[ANHPI Female Employees]]/M$318,"")</f>
        <v>6.2348998519211286E-4</v>
      </c>
      <c r="M174" s="8">
        <v>40</v>
      </c>
      <c r="N174" s="6">
        <v>121331.7</v>
      </c>
      <c r="O174" s="52">
        <f>IFERROR(FemalePayGapsByOccupationalSeriesAndRacialEthnicGroup[[#This Row],[ANHPI Female Avg Salary]]/FemalePayGapsByOccupationalSeriesAndRacialEthnicGroup[[#This Row],[White Male Average Salary]],"")</f>
        <v>0.96042811644079829</v>
      </c>
      <c r="P174" s="10" t="str">
        <f>IFERROR(FemalePayGapsByOccupationalSeriesAndRacialEthnicGroup[[#This Row],[Black Female Employees]]/Q$318,"")</f>
        <v/>
      </c>
      <c r="Q174" s="8" t="s">
        <v>0</v>
      </c>
      <c r="R174" s="6" t="s">
        <v>0</v>
      </c>
      <c r="S174" s="52" t="str">
        <f>IFERROR(FemalePayGapsByOccupationalSeriesAndRacialEthnicGroup[[#This Row],[Black Female Avg Salary]]/FemalePayGapsByOccupationalSeriesAndRacialEthnicGroup[[#This Row],[White Male Average Salary]],"")</f>
        <v/>
      </c>
      <c r="T174" s="10" t="str">
        <f>IFERROR(FemalePayGapsByOccupationalSeriesAndRacialEthnicGroup[[#This Row],[Hispanic Latino Female Employees]]/U$318,"")</f>
        <v/>
      </c>
      <c r="U174" s="8" t="s">
        <v>0</v>
      </c>
      <c r="V174" s="6" t="s">
        <v>0</v>
      </c>
      <c r="W17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74" s="10" t="str">
        <f>IFERROR(FemalePayGapsByOccupationalSeriesAndRacialEthnicGroup[[#This Row],[Other Female Employees]]/Y$318,"")</f>
        <v/>
      </c>
      <c r="Y174" s="8" t="s">
        <v>0</v>
      </c>
      <c r="Z174" s="6" t="s">
        <v>0</v>
      </c>
      <c r="AA17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75" spans="1:27" ht="15.6" x14ac:dyDescent="0.3">
      <c r="A175" s="46" t="s">
        <v>184</v>
      </c>
      <c r="B175" s="40">
        <v>736</v>
      </c>
      <c r="C175" s="41">
        <v>76961.970108695998</v>
      </c>
      <c r="D175" s="70">
        <f>IFERROR(FemalePayGapsByOccupationalSeriesAndRacialEthnicGroup[[#This Row],[White Female Employees]]/E$318,"")</f>
        <v>2.4534609133008251E-4</v>
      </c>
      <c r="E175" s="16">
        <v>112</v>
      </c>
      <c r="F175" s="17">
        <v>76772.339285713999</v>
      </c>
      <c r="G175" s="18">
        <f>IFERROR(FemalePayGapsByOccupationalSeriesAndRacialEthnicGroup[[#This Row],[White Female Avg Salary]]/FemalePayGapsByOccupationalSeriesAndRacialEthnicGroup[[#This Row],[White Male Average Salary]],"")</f>
        <v>0.9975360451049502</v>
      </c>
      <c r="H175" s="10" t="str">
        <f>IFERROR(FemalePayGapsByOccupationalSeriesAndRacialEthnicGroup[[#This Row],[AIAN Female Employees]]/I$318,"")</f>
        <v/>
      </c>
      <c r="I175" t="s">
        <v>0</v>
      </c>
      <c r="J175" s="6" t="s">
        <v>0</v>
      </c>
      <c r="K175" s="52" t="str">
        <f>IFERROR(FemalePayGapsByOccupationalSeriesAndRacialEthnicGroup[[#This Row],[AIAN Female Avg Salary]]/FemalePayGapsByOccupationalSeriesAndRacialEthnicGroup[[#This Row],[White Male Average Salary]],"")</f>
        <v/>
      </c>
      <c r="L175" s="10" t="str">
        <f>IFERROR(FemalePayGapsByOccupationalSeriesAndRacialEthnicGroup[[#This Row],[ANHPI Female Employees]]/M$318,"")</f>
        <v/>
      </c>
      <c r="M175" s="8" t="s">
        <v>0</v>
      </c>
      <c r="N175" s="6" t="s">
        <v>0</v>
      </c>
      <c r="O175" s="52" t="str">
        <f>IFERROR(FemalePayGapsByOccupationalSeriesAndRacialEthnicGroup[[#This Row],[ANHPI Female Avg Salary]]/FemalePayGapsByOccupationalSeriesAndRacialEthnicGroup[[#This Row],[White Male Average Salary]],"")</f>
        <v/>
      </c>
      <c r="P175" s="10" t="str">
        <f>IFERROR(FemalePayGapsByOccupationalSeriesAndRacialEthnicGroup[[#This Row],[Black Female Employees]]/Q$318,"")</f>
        <v/>
      </c>
      <c r="Q175" s="8" t="s">
        <v>0</v>
      </c>
      <c r="R175" s="6" t="s">
        <v>0</v>
      </c>
      <c r="S175" s="52" t="str">
        <f>IFERROR(FemalePayGapsByOccupationalSeriesAndRacialEthnicGroup[[#This Row],[Black Female Avg Salary]]/FemalePayGapsByOccupationalSeriesAndRacialEthnicGroup[[#This Row],[White Male Average Salary]],"")</f>
        <v/>
      </c>
      <c r="T175" s="10" t="str">
        <f>IFERROR(FemalePayGapsByOccupationalSeriesAndRacialEthnicGroup[[#This Row],[Hispanic Latino Female Employees]]/U$318,"")</f>
        <v/>
      </c>
      <c r="U175" s="8" t="s">
        <v>0</v>
      </c>
      <c r="V175" s="6" t="s">
        <v>0</v>
      </c>
      <c r="W17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75" s="10" t="str">
        <f>IFERROR(FemalePayGapsByOccupationalSeriesAndRacialEthnicGroup[[#This Row],[Other Female Employees]]/Y$318,"")</f>
        <v/>
      </c>
      <c r="Y175" s="8" t="s">
        <v>0</v>
      </c>
      <c r="Z175" s="6" t="s">
        <v>0</v>
      </c>
      <c r="AA17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76" spans="1:27" ht="15.6" x14ac:dyDescent="0.3">
      <c r="A176" s="45" t="s">
        <v>185</v>
      </c>
      <c r="B176" s="38">
        <v>468</v>
      </c>
      <c r="C176" s="39">
        <v>114538.534188034</v>
      </c>
      <c r="D176" s="69">
        <f>IFERROR(FemalePayGapsByOccupationalSeriesAndRacialEthnicGroup[[#This Row],[White Female Employees]]/E$318,"")</f>
        <v>3.3735087557886341E-4</v>
      </c>
      <c r="E176" s="67">
        <v>154</v>
      </c>
      <c r="F176" s="64">
        <v>106157.909090909</v>
      </c>
      <c r="G176" s="72">
        <f>IFERROR(FemalePayGapsByOccupationalSeriesAndRacialEthnicGroup[[#This Row],[White Female Avg Salary]]/FemalePayGapsByOccupationalSeriesAndRacialEthnicGroup[[#This Row],[White Male Average Salary]],"")</f>
        <v>0.92683139210279386</v>
      </c>
      <c r="H176" s="10" t="str">
        <f>IFERROR(FemalePayGapsByOccupationalSeriesAndRacialEthnicGroup[[#This Row],[AIAN Female Employees]]/I$318,"")</f>
        <v/>
      </c>
      <c r="I176" t="s">
        <v>0</v>
      </c>
      <c r="J176" s="6" t="s">
        <v>0</v>
      </c>
      <c r="K176" s="52" t="str">
        <f>IFERROR(FemalePayGapsByOccupationalSeriesAndRacialEthnicGroup[[#This Row],[AIAN Female Avg Salary]]/FemalePayGapsByOccupationalSeriesAndRacialEthnicGroup[[#This Row],[White Male Average Salary]],"")</f>
        <v/>
      </c>
      <c r="L176" s="10" t="str">
        <f>IFERROR(FemalePayGapsByOccupationalSeriesAndRacialEthnicGroup[[#This Row],[ANHPI Female Employees]]/M$318,"")</f>
        <v/>
      </c>
      <c r="M176" s="8" t="s">
        <v>0</v>
      </c>
      <c r="N176" s="6" t="s">
        <v>0</v>
      </c>
      <c r="O176" s="52" t="str">
        <f>IFERROR(FemalePayGapsByOccupationalSeriesAndRacialEthnicGroup[[#This Row],[ANHPI Female Avg Salary]]/FemalePayGapsByOccupationalSeriesAndRacialEthnicGroup[[#This Row],[White Male Average Salary]],"")</f>
        <v/>
      </c>
      <c r="P176" s="10" t="str">
        <f>IFERROR(FemalePayGapsByOccupationalSeriesAndRacialEthnicGroup[[#This Row],[Black Female Employees]]/Q$318,"")</f>
        <v/>
      </c>
      <c r="Q176" s="8" t="s">
        <v>0</v>
      </c>
      <c r="R176" s="6" t="s">
        <v>0</v>
      </c>
      <c r="S176" s="52" t="str">
        <f>IFERROR(FemalePayGapsByOccupationalSeriesAndRacialEthnicGroup[[#This Row],[Black Female Avg Salary]]/FemalePayGapsByOccupationalSeriesAndRacialEthnicGroup[[#This Row],[White Male Average Salary]],"")</f>
        <v/>
      </c>
      <c r="T176" s="10" t="str">
        <f>IFERROR(FemalePayGapsByOccupationalSeriesAndRacialEthnicGroup[[#This Row],[Hispanic Latino Female Employees]]/U$318,"")</f>
        <v/>
      </c>
      <c r="U176" s="8" t="s">
        <v>0</v>
      </c>
      <c r="V176" s="6" t="s">
        <v>0</v>
      </c>
      <c r="W17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76" s="10" t="str">
        <f>IFERROR(FemalePayGapsByOccupationalSeriesAndRacialEthnicGroup[[#This Row],[Other Female Employees]]/Y$318,"")</f>
        <v/>
      </c>
      <c r="Y176" s="8" t="s">
        <v>0</v>
      </c>
      <c r="Z176" s="6" t="s">
        <v>0</v>
      </c>
      <c r="AA17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77" spans="1:27" ht="31.2" x14ac:dyDescent="0.3">
      <c r="A177" s="46" t="s">
        <v>186</v>
      </c>
      <c r="B177" s="40">
        <v>99</v>
      </c>
      <c r="C177" s="41">
        <v>49917.102040815997</v>
      </c>
      <c r="D177" s="70">
        <f>IFERROR(FemalePayGapsByOccupationalSeriesAndRacialEthnicGroup[[#This Row],[White Female Employees]]/E$318,"")</f>
        <v>1.3143540606968705E-4</v>
      </c>
      <c r="E177" s="16">
        <v>60</v>
      </c>
      <c r="F177" s="17">
        <v>46533.35</v>
      </c>
      <c r="G177" s="18">
        <f>IFERROR(FemalePayGapsByOccupationalSeriesAndRacialEthnicGroup[[#This Row],[White Female Avg Salary]]/FemalePayGapsByOccupationalSeriesAndRacialEthnicGroup[[#This Row],[White Male Average Salary]],"")</f>
        <v>0.93221257039222372</v>
      </c>
      <c r="H177" s="10" t="str">
        <f>IFERROR(FemalePayGapsByOccupationalSeriesAndRacialEthnicGroup[[#This Row],[AIAN Female Employees]]/I$318,"")</f>
        <v/>
      </c>
      <c r="I177" t="s">
        <v>0</v>
      </c>
      <c r="J177" s="6" t="s">
        <v>0</v>
      </c>
      <c r="K177" s="52" t="str">
        <f>IFERROR(FemalePayGapsByOccupationalSeriesAndRacialEthnicGroup[[#This Row],[AIAN Female Avg Salary]]/FemalePayGapsByOccupationalSeriesAndRacialEthnicGroup[[#This Row],[White Male Average Salary]],"")</f>
        <v/>
      </c>
      <c r="L177" s="10" t="str">
        <f>IFERROR(FemalePayGapsByOccupationalSeriesAndRacialEthnicGroup[[#This Row],[ANHPI Female Employees]]/M$318,"")</f>
        <v/>
      </c>
      <c r="M177" s="8" t="s">
        <v>0</v>
      </c>
      <c r="N177" s="6" t="s">
        <v>0</v>
      </c>
      <c r="O177" s="52" t="str">
        <f>IFERROR(FemalePayGapsByOccupationalSeriesAndRacialEthnicGroup[[#This Row],[ANHPI Female Avg Salary]]/FemalePayGapsByOccupationalSeriesAndRacialEthnicGroup[[#This Row],[White Male Average Salary]],"")</f>
        <v/>
      </c>
      <c r="P177" s="10" t="str">
        <f>IFERROR(FemalePayGapsByOccupationalSeriesAndRacialEthnicGroup[[#This Row],[Black Female Employees]]/Q$318,"")</f>
        <v/>
      </c>
      <c r="Q177" s="8" t="s">
        <v>0</v>
      </c>
      <c r="R177" s="6" t="s">
        <v>0</v>
      </c>
      <c r="S177" s="52" t="str">
        <f>IFERROR(FemalePayGapsByOccupationalSeriesAndRacialEthnicGroup[[#This Row],[Black Female Avg Salary]]/FemalePayGapsByOccupationalSeriesAndRacialEthnicGroup[[#This Row],[White Male Average Salary]],"")</f>
        <v/>
      </c>
      <c r="T177" s="10" t="str">
        <f>IFERROR(FemalePayGapsByOccupationalSeriesAndRacialEthnicGroup[[#This Row],[Hispanic Latino Female Employees]]/U$318,"")</f>
        <v/>
      </c>
      <c r="U177" s="8" t="s">
        <v>0</v>
      </c>
      <c r="V177" s="6" t="s">
        <v>0</v>
      </c>
      <c r="W17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77" s="10" t="str">
        <f>IFERROR(FemalePayGapsByOccupationalSeriesAndRacialEthnicGroup[[#This Row],[Other Female Employees]]/Y$318,"")</f>
        <v/>
      </c>
      <c r="Y177" s="8" t="s">
        <v>0</v>
      </c>
      <c r="Z177" s="6" t="s">
        <v>0</v>
      </c>
      <c r="AA17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78" spans="1:27" ht="31.2" x14ac:dyDescent="0.3">
      <c r="A178" s="45" t="s">
        <v>187</v>
      </c>
      <c r="B178" s="38">
        <v>1023</v>
      </c>
      <c r="C178" s="39">
        <v>71766.154447702997</v>
      </c>
      <c r="D178" s="69">
        <f>IFERROR(FemalePayGapsByOccupationalSeriesAndRacialEthnicGroup[[#This Row],[White Female Employees]]/E$318,"")</f>
        <v>3.9277280513824817E-3</v>
      </c>
      <c r="E178" s="67">
        <v>1793</v>
      </c>
      <c r="F178" s="64">
        <v>71913.531511433001</v>
      </c>
      <c r="G178" s="72">
        <f>IFERROR(FemalePayGapsByOccupationalSeriesAndRacialEthnicGroup[[#This Row],[White Female Avg Salary]]/FemalePayGapsByOccupationalSeriesAndRacialEthnicGroup[[#This Row],[White Male Average Salary]],"")</f>
        <v>1.0020535733712386</v>
      </c>
      <c r="H178" s="10">
        <f>IFERROR(FemalePayGapsByOccupationalSeriesAndRacialEthnicGroup[[#This Row],[AIAN Female Employees]]/I$318,"")</f>
        <v>7.1732522796352583E-3</v>
      </c>
      <c r="I178">
        <v>118</v>
      </c>
      <c r="J178" s="6">
        <v>73965.338983050999</v>
      </c>
      <c r="K178" s="52">
        <f>IFERROR(FemalePayGapsByOccupationalSeriesAndRacialEthnicGroup[[#This Row],[AIAN Female Avg Salary]]/FemalePayGapsByOccupationalSeriesAndRacialEthnicGroup[[#This Row],[White Male Average Salary]],"")</f>
        <v>1.0306437561309012</v>
      </c>
      <c r="L178" s="10">
        <f>IFERROR(FemalePayGapsByOccupationalSeriesAndRacialEthnicGroup[[#This Row],[ANHPI Female Employees]]/M$318,"")</f>
        <v>5.4555373704309879E-3</v>
      </c>
      <c r="M178" s="8">
        <v>350</v>
      </c>
      <c r="N178" s="6">
        <v>70615.045714285996</v>
      </c>
      <c r="O178" s="52">
        <f>IFERROR(FemalePayGapsByOccupationalSeriesAndRacialEthnicGroup[[#This Row],[ANHPI Female Avg Salary]]/FemalePayGapsByOccupationalSeriesAndRacialEthnicGroup[[#This Row],[White Male Average Salary]],"")</f>
        <v>0.9839602840325542</v>
      </c>
      <c r="P178" s="10">
        <f>IFERROR(FemalePayGapsByOccupationalSeriesAndRacialEthnicGroup[[#This Row],[Black Female Employees]]/Q$318,"")</f>
        <v>1.1173157807190552E-2</v>
      </c>
      <c r="Q178" s="8">
        <v>2351</v>
      </c>
      <c r="R178" s="6">
        <v>68916.409535972998</v>
      </c>
      <c r="S178" s="52">
        <f>IFERROR(FemalePayGapsByOccupationalSeriesAndRacialEthnicGroup[[#This Row],[Black Female Avg Salary]]/FemalePayGapsByOccupationalSeriesAndRacialEthnicGroup[[#This Row],[White Male Average Salary]],"")</f>
        <v>0.96029124127297849</v>
      </c>
      <c r="T178" s="10">
        <f>IFERROR(FemalePayGapsByOccupationalSeriesAndRacialEthnicGroup[[#This Row],[Hispanic Latino Female Employees]]/U$318,"")</f>
        <v>7.1270172919897963E-3</v>
      </c>
      <c r="U178" s="8">
        <v>556</v>
      </c>
      <c r="V178" s="6">
        <v>76290.791366906007</v>
      </c>
      <c r="W178" s="52">
        <f>IFERROR(FemalePayGapsByOccupationalSeriesAndRacialEthnicGroup[[#This Row],[Hispanic Latino Female Avg Salary]]/FemalePayGapsByOccupationalSeriesAndRacialEthnicGroup[[#This Row],[White Male Average Salary]],"")</f>
        <v>1.0630469467679249</v>
      </c>
      <c r="X178" s="10">
        <f>IFERROR(FemalePayGapsByOccupationalSeriesAndRacialEthnicGroup[[#This Row],[Other Female Employees]]/Y$318,"")</f>
        <v>4.9742807077044829E-3</v>
      </c>
      <c r="Y178" s="8">
        <v>88</v>
      </c>
      <c r="Z178" s="6">
        <v>70380.045977011003</v>
      </c>
      <c r="AA178" s="1">
        <f>IFERROR(FemalePayGapsByOccupationalSeriesAndRacialEthnicGroup[[#This Row],[Other Female Avg Salary]]/FemalePayGapsByOccupationalSeriesAndRacialEthnicGroup[[#This Row],[White Male Average Salary]],"")</f>
        <v>0.98068576362549742</v>
      </c>
    </row>
    <row r="179" spans="1:27" ht="15.6" x14ac:dyDescent="0.3">
      <c r="A179" s="46" t="s">
        <v>188</v>
      </c>
      <c r="B179" s="40">
        <v>15306</v>
      </c>
      <c r="C179" s="41">
        <v>158376.60354796299</v>
      </c>
      <c r="D179" s="70">
        <f>IFERROR(FemalePayGapsByOccupationalSeriesAndRacialEthnicGroup[[#This Row],[White Female Employees]]/E$318,"")</f>
        <v>2.9178660147470524E-2</v>
      </c>
      <c r="E179" s="16">
        <v>13320</v>
      </c>
      <c r="F179" s="17">
        <v>153084.65581570999</v>
      </c>
      <c r="G179" s="18">
        <f>IFERROR(FemalePayGapsByOccupationalSeriesAndRacialEthnicGroup[[#This Row],[White Female Avg Salary]]/FemalePayGapsByOccupationalSeriesAndRacialEthnicGroup[[#This Row],[White Male Average Salary]],"")</f>
        <v>0.96658630369825815</v>
      </c>
      <c r="H179" s="10">
        <f>IFERROR(FemalePayGapsByOccupationalSeriesAndRacialEthnicGroup[[#This Row],[AIAN Female Employees]]/I$318,"")</f>
        <v>6.018237082066869E-3</v>
      </c>
      <c r="I179">
        <v>99</v>
      </c>
      <c r="J179" s="6">
        <v>143470.85858585901</v>
      </c>
      <c r="K179" s="52">
        <f>IFERROR(FemalePayGapsByOccupationalSeriesAndRacialEthnicGroup[[#This Row],[AIAN Female Avg Salary]]/FemalePayGapsByOccupationalSeriesAndRacialEthnicGroup[[#This Row],[White Male Average Salary]],"")</f>
        <v>0.90588417336788063</v>
      </c>
      <c r="L179" s="10">
        <f>IFERROR(FemalePayGapsByOccupationalSeriesAndRacialEthnicGroup[[#This Row],[ANHPI Female Employees]]/M$318,"")</f>
        <v>2.5999532382511105E-2</v>
      </c>
      <c r="M179" s="8">
        <v>1668</v>
      </c>
      <c r="N179" s="6">
        <v>154236.144840072</v>
      </c>
      <c r="O179" s="52">
        <f>IFERROR(FemalePayGapsByOccupationalSeriesAndRacialEthnicGroup[[#This Row],[ANHPI Female Avg Salary]]/FemalePayGapsByOccupationalSeriesAndRacialEthnicGroup[[#This Row],[White Male Average Salary]],"")</f>
        <v>0.97385687901409568</v>
      </c>
      <c r="P179" s="10">
        <f>IFERROR(FemalePayGapsByOccupationalSeriesAndRacialEthnicGroup[[#This Row],[Black Female Employees]]/Q$318,"")</f>
        <v>1.0964047239978139E-2</v>
      </c>
      <c r="Q179" s="8">
        <v>2307</v>
      </c>
      <c r="R179" s="6">
        <v>147790.85078534001</v>
      </c>
      <c r="S179" s="52">
        <f>IFERROR(FemalePayGapsByOccupationalSeriesAndRacialEthnicGroup[[#This Row],[Black Female Avg Salary]]/FemalePayGapsByOccupationalSeriesAndRacialEthnicGroup[[#This Row],[White Male Average Salary]],"")</f>
        <v>0.93316088029746658</v>
      </c>
      <c r="T179" s="10">
        <f>IFERROR(FemalePayGapsByOccupationalSeriesAndRacialEthnicGroup[[#This Row],[Hispanic Latino Female Employees]]/U$318,"")</f>
        <v>1.3907938420519657E-2</v>
      </c>
      <c r="U179" s="8">
        <v>1085</v>
      </c>
      <c r="V179" s="6">
        <v>148030.53283996301</v>
      </c>
      <c r="W179" s="52">
        <f>IFERROR(FemalePayGapsByOccupationalSeriesAndRacialEthnicGroup[[#This Row],[Hispanic Latino Female Avg Salary]]/FemalePayGapsByOccupationalSeriesAndRacialEthnicGroup[[#This Row],[White Male Average Salary]],"")</f>
        <v>0.93467424811350519</v>
      </c>
      <c r="X179" s="10">
        <f>IFERROR(FemalePayGapsByOccupationalSeriesAndRacialEthnicGroup[[#This Row],[Other Female Employees]]/Y$318,"")</f>
        <v>2.1140693007744051E-2</v>
      </c>
      <c r="Y179" s="8">
        <v>374</v>
      </c>
      <c r="Z179" s="6">
        <v>147376.22788203799</v>
      </c>
      <c r="AA179" s="1">
        <f>IFERROR(FemalePayGapsByOccupationalSeriesAndRacialEthnicGroup[[#This Row],[Other Female Avg Salary]]/FemalePayGapsByOccupationalSeriesAndRacialEthnicGroup[[#This Row],[White Male Average Salary]],"")</f>
        <v>0.93054292477869915</v>
      </c>
    </row>
    <row r="180" spans="1:27" ht="15.6" x14ac:dyDescent="0.3">
      <c r="A180" s="45" t="s">
        <v>189</v>
      </c>
      <c r="B180" s="38">
        <v>867</v>
      </c>
      <c r="C180" s="39">
        <v>119816.614763552</v>
      </c>
      <c r="D180" s="69">
        <f>IFERROR(FemalePayGapsByOccupationalSeriesAndRacialEthnicGroup[[#This Row],[White Female Employees]]/E$318,"")</f>
        <v>2.1402065288347377E-3</v>
      </c>
      <c r="E180" s="67">
        <v>977</v>
      </c>
      <c r="F180" s="64">
        <v>114543.324462641</v>
      </c>
      <c r="G180" s="72">
        <f>IFERROR(FemalePayGapsByOccupationalSeriesAndRacialEthnicGroup[[#This Row],[White Female Avg Salary]]/FemalePayGapsByOccupationalSeriesAndRacialEthnicGroup[[#This Row],[White Male Average Salary]],"")</f>
        <v>0.95598865556903445</v>
      </c>
      <c r="H180" s="10" t="str">
        <f>IFERROR(FemalePayGapsByOccupationalSeriesAndRacialEthnicGroup[[#This Row],[AIAN Female Employees]]/I$318,"")</f>
        <v/>
      </c>
      <c r="I180" t="s">
        <v>0</v>
      </c>
      <c r="J180" s="6" t="s">
        <v>0</v>
      </c>
      <c r="K180" s="52" t="str">
        <f>IFERROR(FemalePayGapsByOccupationalSeriesAndRacialEthnicGroup[[#This Row],[AIAN Female Avg Salary]]/FemalePayGapsByOccupationalSeriesAndRacialEthnicGroup[[#This Row],[White Male Average Salary]],"")</f>
        <v/>
      </c>
      <c r="L180" s="10">
        <f>IFERROR(FemalePayGapsByOccupationalSeriesAndRacialEthnicGroup[[#This Row],[ANHPI Female Employees]]/M$318,"")</f>
        <v>2.8524666822539162E-3</v>
      </c>
      <c r="M180" s="8">
        <v>183</v>
      </c>
      <c r="N180" s="6">
        <v>118063.448087432</v>
      </c>
      <c r="O180" s="52">
        <f>IFERROR(FemalePayGapsByOccupationalSeriesAndRacialEthnicGroup[[#This Row],[ANHPI Female Avg Salary]]/FemalePayGapsByOccupationalSeriesAndRacialEthnicGroup[[#This Row],[White Male Average Salary]],"")</f>
        <v>0.98536791679868663</v>
      </c>
      <c r="P180" s="10">
        <f>IFERROR(FemalePayGapsByOccupationalSeriesAndRacialEthnicGroup[[#This Row],[Black Female Employees]]/Q$318,"")</f>
        <v>1.8487275146733837E-3</v>
      </c>
      <c r="Q180" s="8">
        <v>389</v>
      </c>
      <c r="R180" s="6">
        <v>104998.26221079699</v>
      </c>
      <c r="S180" s="52">
        <f>IFERROR(FemalePayGapsByOccupationalSeriesAndRacialEthnicGroup[[#This Row],[Black Female Avg Salary]]/FemalePayGapsByOccupationalSeriesAndRacialEthnicGroup[[#This Row],[White Male Average Salary]],"")</f>
        <v>0.87632472690037366</v>
      </c>
      <c r="T180" s="10">
        <f>IFERROR(FemalePayGapsByOccupationalSeriesAndRacialEthnicGroup[[#This Row],[Hispanic Latino Female Employees]]/U$318,"")</f>
        <v>2.9995000833194468E-3</v>
      </c>
      <c r="U180" s="8">
        <v>234</v>
      </c>
      <c r="V180" s="6">
        <v>103156.316239316</v>
      </c>
      <c r="W180" s="52">
        <f>IFERROR(FemalePayGapsByOccupationalSeriesAndRacialEthnicGroup[[#This Row],[Hispanic Latino Female Avg Salary]]/FemalePayGapsByOccupationalSeriesAndRacialEthnicGroup[[#This Row],[White Male Average Salary]],"")</f>
        <v>0.86095168389531207</v>
      </c>
      <c r="X180" s="10" t="str">
        <f>IFERROR(FemalePayGapsByOccupationalSeriesAndRacialEthnicGroup[[#This Row],[Other Female Employees]]/Y$318,"")</f>
        <v/>
      </c>
      <c r="Y180" s="8" t="s">
        <v>0</v>
      </c>
      <c r="Z180" s="6" t="s">
        <v>0</v>
      </c>
      <c r="AA18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81" spans="1:27" ht="15.6" x14ac:dyDescent="0.3">
      <c r="A181" s="46" t="s">
        <v>190</v>
      </c>
      <c r="B181" s="40">
        <v>758</v>
      </c>
      <c r="C181" s="41">
        <v>185781.457461646</v>
      </c>
      <c r="D181" s="70">
        <f>IFERROR(FemalePayGapsByOccupationalSeriesAndRacialEthnicGroup[[#This Row],[White Female Employees]]/E$318,"")</f>
        <v>9.901467257249759E-4</v>
      </c>
      <c r="E181" s="16">
        <v>452</v>
      </c>
      <c r="F181" s="17">
        <v>185876.13921113699</v>
      </c>
      <c r="G181" s="18">
        <f>IFERROR(FemalePayGapsByOccupationalSeriesAndRacialEthnicGroup[[#This Row],[White Female Avg Salary]]/FemalePayGapsByOccupationalSeriesAndRacialEthnicGroup[[#This Row],[White Male Average Salary]],"")</f>
        <v>1.0005096404710385</v>
      </c>
      <c r="H181" s="10" t="str">
        <f>IFERROR(FemalePayGapsByOccupationalSeriesAndRacialEthnicGroup[[#This Row],[AIAN Female Employees]]/I$318,"")</f>
        <v/>
      </c>
      <c r="I181" t="s">
        <v>0</v>
      </c>
      <c r="J181" s="6" t="s">
        <v>0</v>
      </c>
      <c r="K181" s="52" t="str">
        <f>IFERROR(FemalePayGapsByOccupationalSeriesAndRacialEthnicGroup[[#This Row],[AIAN Female Avg Salary]]/FemalePayGapsByOccupationalSeriesAndRacialEthnicGroup[[#This Row],[White Male Average Salary]],"")</f>
        <v/>
      </c>
      <c r="L181" s="10" t="str">
        <f>IFERROR(FemalePayGapsByOccupationalSeriesAndRacialEthnicGroup[[#This Row],[ANHPI Female Employees]]/M$318,"")</f>
        <v/>
      </c>
      <c r="M181" s="8" t="s">
        <v>0</v>
      </c>
      <c r="N181" s="6" t="s">
        <v>0</v>
      </c>
      <c r="O181" s="52" t="str">
        <f>IFERROR(FemalePayGapsByOccupationalSeriesAndRacialEthnicGroup[[#This Row],[ANHPI Female Avg Salary]]/FemalePayGapsByOccupationalSeriesAndRacialEthnicGroup[[#This Row],[White Male Average Salary]],"")</f>
        <v/>
      </c>
      <c r="P181" s="10">
        <f>IFERROR(FemalePayGapsByOccupationalSeriesAndRacialEthnicGroup[[#This Row],[Black Female Employees]]/Q$318,"")</f>
        <v>4.5624123755435685E-4</v>
      </c>
      <c r="Q181" s="8">
        <v>96</v>
      </c>
      <c r="R181" s="6">
        <v>185933.087912088</v>
      </c>
      <c r="S181" s="52">
        <f>IFERROR(FemalePayGapsByOccupationalSeriesAndRacialEthnicGroup[[#This Row],[Black Female Avg Salary]]/FemalePayGapsByOccupationalSeriesAndRacialEthnicGroup[[#This Row],[White Male Average Salary]],"")</f>
        <v>1.0008161764500814</v>
      </c>
      <c r="T181" s="10" t="str">
        <f>IFERROR(FemalePayGapsByOccupationalSeriesAndRacialEthnicGroup[[#This Row],[Hispanic Latino Female Employees]]/U$318,"")</f>
        <v/>
      </c>
      <c r="U181" s="8" t="s">
        <v>0</v>
      </c>
      <c r="V181" s="47" t="s">
        <v>0</v>
      </c>
      <c r="W18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81" s="10" t="str">
        <f>IFERROR(FemalePayGapsByOccupationalSeriesAndRacialEthnicGroup[[#This Row],[Other Female Employees]]/Y$318,"")</f>
        <v/>
      </c>
      <c r="Y181" s="8" t="s">
        <v>0</v>
      </c>
      <c r="Z181" s="6" t="s">
        <v>0</v>
      </c>
      <c r="AA18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82" spans="1:27" ht="15.6" x14ac:dyDescent="0.3">
      <c r="A182" s="45" t="s">
        <v>191</v>
      </c>
      <c r="B182" s="38">
        <v>681</v>
      </c>
      <c r="C182" s="39">
        <v>90577.493392069999</v>
      </c>
      <c r="D182" s="69">
        <f>IFERROR(FemalePayGapsByOccupationalSeriesAndRacialEthnicGroup[[#This Row],[White Female Employees]]/E$318,"")</f>
        <v>5.0887408049980504E-3</v>
      </c>
      <c r="E182" s="67">
        <v>2323</v>
      </c>
      <c r="F182" s="64">
        <v>87225.329599310993</v>
      </c>
      <c r="G182" s="72">
        <f>IFERROR(FemalePayGapsByOccupationalSeriesAndRacialEthnicGroup[[#This Row],[White Female Avg Salary]]/FemalePayGapsByOccupationalSeriesAndRacialEthnicGroup[[#This Row],[White Male Average Salary]],"")</f>
        <v>0.96299120601351851</v>
      </c>
      <c r="H182" s="10" t="str">
        <f>IFERROR(FemalePayGapsByOccupationalSeriesAndRacialEthnicGroup[[#This Row],[AIAN Female Employees]]/I$318,"")</f>
        <v/>
      </c>
      <c r="I182" t="s">
        <v>0</v>
      </c>
      <c r="J182" s="6" t="s">
        <v>0</v>
      </c>
      <c r="K182" s="52" t="str">
        <f>IFERROR(FemalePayGapsByOccupationalSeriesAndRacialEthnicGroup[[#This Row],[AIAN Female Avg Salary]]/FemalePayGapsByOccupationalSeriesAndRacialEthnicGroup[[#This Row],[White Male Average Salary]],"")</f>
        <v/>
      </c>
      <c r="L182" s="10">
        <f>IFERROR(FemalePayGapsByOccupationalSeriesAndRacialEthnicGroup[[#This Row],[ANHPI Female Employees]]/M$318,"")</f>
        <v>2.6186579378068742E-3</v>
      </c>
      <c r="M182" s="8">
        <v>168</v>
      </c>
      <c r="N182" s="6">
        <v>95748.285714286001</v>
      </c>
      <c r="O182" s="52">
        <f>IFERROR(FemalePayGapsByOccupationalSeriesAndRacialEthnicGroup[[#This Row],[ANHPI Female Avg Salary]]/FemalePayGapsByOccupationalSeriesAndRacialEthnicGroup[[#This Row],[White Male Average Salary]],"")</f>
        <v>1.0570869443232871</v>
      </c>
      <c r="P182" s="10">
        <f>IFERROR(FemalePayGapsByOccupationalSeriesAndRacialEthnicGroup[[#This Row],[Black Female Employees]]/Q$318,"")</f>
        <v>6.2923270679371719E-3</v>
      </c>
      <c r="Q182" s="8">
        <v>1324</v>
      </c>
      <c r="R182" s="6">
        <v>92975.567220544006</v>
      </c>
      <c r="S182" s="52">
        <f>IFERROR(FemalePayGapsByOccupationalSeriesAndRacialEthnicGroup[[#This Row],[Black Female Avg Salary]]/FemalePayGapsByOccupationalSeriesAndRacialEthnicGroup[[#This Row],[White Male Average Salary]],"")</f>
        <v>1.0264753829971183</v>
      </c>
      <c r="T182" s="10">
        <f>IFERROR(FemalePayGapsByOccupationalSeriesAndRacialEthnicGroup[[#This Row],[Hispanic Latino Female Employees]]/U$318,"")</f>
        <v>6.4732800943432508E-3</v>
      </c>
      <c r="U182" s="8">
        <v>505</v>
      </c>
      <c r="V182" s="6">
        <v>89497.120792079004</v>
      </c>
      <c r="W182" s="52">
        <f>IFERROR(FemalePayGapsByOccupationalSeriesAndRacialEthnicGroup[[#This Row],[Hispanic Latino Female Avg Salary]]/FemalePayGapsByOccupationalSeriesAndRacialEthnicGroup[[#This Row],[White Male Average Salary]],"")</f>
        <v>0.98807239459239016</v>
      </c>
      <c r="X182" s="10">
        <f>IFERROR(FemalePayGapsByOccupationalSeriesAndRacialEthnicGroup[[#This Row],[Other Female Employees]]/Y$318,"")</f>
        <v>4.578599287773444E-3</v>
      </c>
      <c r="Y182" s="8">
        <v>81</v>
      </c>
      <c r="Z182" s="6">
        <v>82829.456790123004</v>
      </c>
      <c r="AA182" s="1">
        <f>IFERROR(FemalePayGapsByOccupationalSeriesAndRacialEthnicGroup[[#This Row],[Other Female Avg Salary]]/FemalePayGapsByOccupationalSeriesAndRacialEthnicGroup[[#This Row],[White Male Average Salary]],"")</f>
        <v>0.91445958248801207</v>
      </c>
    </row>
    <row r="183" spans="1:27" ht="15.6" x14ac:dyDescent="0.3">
      <c r="A183" s="46" t="s">
        <v>192</v>
      </c>
      <c r="B183" s="40">
        <v>3438</v>
      </c>
      <c r="C183" s="41">
        <v>56545.858888565999</v>
      </c>
      <c r="D183" s="70">
        <f>IFERROR(FemalePayGapsByOccupationalSeriesAndRacialEthnicGroup[[#This Row],[White Female Employees]]/E$318,"")</f>
        <v>1.3469938532041762E-2</v>
      </c>
      <c r="E183" s="16">
        <v>6149</v>
      </c>
      <c r="F183" s="17">
        <v>55159.701577492</v>
      </c>
      <c r="G183" s="18">
        <f>IFERROR(FemalePayGapsByOccupationalSeriesAndRacialEthnicGroup[[#This Row],[White Female Avg Salary]]/FemalePayGapsByOccupationalSeriesAndRacialEthnicGroup[[#This Row],[White Male Average Salary]],"")</f>
        <v>0.97548613924486183</v>
      </c>
      <c r="H183" s="10">
        <f>IFERROR(FemalePayGapsByOccupationalSeriesAndRacialEthnicGroup[[#This Row],[AIAN Female Employees]]/I$318,"")</f>
        <v>2.3404255319148935E-2</v>
      </c>
      <c r="I183">
        <v>385</v>
      </c>
      <c r="J183" s="6">
        <v>54834.646753246998</v>
      </c>
      <c r="K183" s="52">
        <f>IFERROR(FemalePayGapsByOccupationalSeriesAndRacialEthnicGroup[[#This Row],[AIAN Female Avg Salary]]/FemalePayGapsByOccupationalSeriesAndRacialEthnicGroup[[#This Row],[White Male Average Salary]],"")</f>
        <v>0.96973762236610006</v>
      </c>
      <c r="L183" s="10">
        <f>IFERROR(FemalePayGapsByOccupationalSeriesAndRacialEthnicGroup[[#This Row],[ANHPI Female Employees]]/M$318,"")</f>
        <v>9.2900007793624822E-3</v>
      </c>
      <c r="M183" s="8">
        <v>596</v>
      </c>
      <c r="N183" s="6">
        <v>56040.225210083998</v>
      </c>
      <c r="O183" s="52">
        <f>IFERROR(FemalePayGapsByOccupationalSeriesAndRacialEthnicGroup[[#This Row],[ANHPI Female Avg Salary]]/FemalePayGapsByOccupationalSeriesAndRacialEthnicGroup[[#This Row],[White Male Average Salary]],"")</f>
        <v>0.991057989242352</v>
      </c>
      <c r="P183" s="10">
        <f>IFERROR(FemalePayGapsByOccupationalSeriesAndRacialEthnicGroup[[#This Row],[Black Female Employees]]/Q$318,"")</f>
        <v>4.0610222655228949E-2</v>
      </c>
      <c r="Q183" s="8">
        <v>8545</v>
      </c>
      <c r="R183" s="6">
        <v>56333.456056173003</v>
      </c>
      <c r="S183" s="52">
        <f>IFERROR(FemalePayGapsByOccupationalSeriesAndRacialEthnicGroup[[#This Row],[Black Female Avg Salary]]/FemalePayGapsByOccupationalSeriesAndRacialEthnicGroup[[#This Row],[White Male Average Salary]],"")</f>
        <v>0.99624370667334672</v>
      </c>
      <c r="T183" s="10">
        <f>IFERROR(FemalePayGapsByOccupationalSeriesAndRacialEthnicGroup[[#This Row],[Hispanic Latino Female Employees]]/U$318,"")</f>
        <v>5.1170958686372781E-2</v>
      </c>
      <c r="U183" s="8">
        <v>3992</v>
      </c>
      <c r="V183" s="6">
        <v>53583.018537074</v>
      </c>
      <c r="W183" s="52">
        <f>IFERROR(FemalePayGapsByOccupationalSeriesAndRacialEthnicGroup[[#This Row],[Hispanic Latino Female Avg Salary]]/FemalePayGapsByOccupationalSeriesAndRacialEthnicGroup[[#This Row],[White Male Average Salary]],"")</f>
        <v>0.94760287650187047</v>
      </c>
      <c r="X183" s="10">
        <f>IFERROR(FemalePayGapsByOccupationalSeriesAndRacialEthnicGroup[[#This Row],[Other Female Employees]]/Y$318,"")</f>
        <v>1.701430105703465E-2</v>
      </c>
      <c r="Y183" s="8">
        <v>301</v>
      </c>
      <c r="Z183" s="6">
        <v>53402.431893688001</v>
      </c>
      <c r="AA183" s="1">
        <f>IFERROR(FemalePayGapsByOccupationalSeriesAndRacialEthnicGroup[[#This Row],[Other Female Avg Salary]]/FemalePayGapsByOccupationalSeriesAndRacialEthnicGroup[[#This Row],[White Male Average Salary]],"")</f>
        <v>0.94440924487374578</v>
      </c>
    </row>
    <row r="184" spans="1:27" ht="15.6" x14ac:dyDescent="0.3">
      <c r="A184" s="45" t="s">
        <v>193</v>
      </c>
      <c r="B184" s="38">
        <v>448</v>
      </c>
      <c r="C184" s="39">
        <v>58648.508928570998</v>
      </c>
      <c r="D184" s="69">
        <f>IFERROR(FemalePayGapsByOccupationalSeriesAndRacialEthnicGroup[[#This Row],[White Female Employees]]/E$318,"")</f>
        <v>1.7480909007268378E-3</v>
      </c>
      <c r="E184" s="67">
        <v>798</v>
      </c>
      <c r="F184" s="64">
        <v>60275.790726817002</v>
      </c>
      <c r="G184" s="72">
        <f>IFERROR(FemalePayGapsByOccupationalSeriesAndRacialEthnicGroup[[#This Row],[White Female Avg Salary]]/FemalePayGapsByOccupationalSeriesAndRacialEthnicGroup[[#This Row],[White Male Average Salary]],"")</f>
        <v>1.027746345610046</v>
      </c>
      <c r="H184" s="10" t="str">
        <f>IFERROR(FemalePayGapsByOccupationalSeriesAndRacialEthnicGroup[[#This Row],[AIAN Female Employees]]/I$318,"")</f>
        <v/>
      </c>
      <c r="I184" t="s">
        <v>0</v>
      </c>
      <c r="J184" s="6" t="s">
        <v>0</v>
      </c>
      <c r="K184" s="52" t="str">
        <f>IFERROR(FemalePayGapsByOccupationalSeriesAndRacialEthnicGroup[[#This Row],[AIAN Female Avg Salary]]/FemalePayGapsByOccupationalSeriesAndRacialEthnicGroup[[#This Row],[White Male Average Salary]],"")</f>
        <v/>
      </c>
      <c r="L184" s="10" t="str">
        <f>IFERROR(FemalePayGapsByOccupationalSeriesAndRacialEthnicGroup[[#This Row],[ANHPI Female Employees]]/M$318,"")</f>
        <v/>
      </c>
      <c r="M184" s="8" t="s">
        <v>0</v>
      </c>
      <c r="N184" s="6" t="s">
        <v>0</v>
      </c>
      <c r="O184" s="52" t="str">
        <f>IFERROR(FemalePayGapsByOccupationalSeriesAndRacialEthnicGroup[[#This Row],[ANHPI Female Avg Salary]]/FemalePayGapsByOccupationalSeriesAndRacialEthnicGroup[[#This Row],[White Male Average Salary]],"")</f>
        <v/>
      </c>
      <c r="P184" s="10">
        <f>IFERROR(FemalePayGapsByOccupationalSeriesAndRacialEthnicGroup[[#This Row],[Black Female Employees]]/Q$318,"")</f>
        <v>1.5683292540931016E-3</v>
      </c>
      <c r="Q184" s="8">
        <v>330</v>
      </c>
      <c r="R184" s="6">
        <v>64087.809090909002</v>
      </c>
      <c r="S184" s="52">
        <f>IFERROR(FemalePayGapsByOccupationalSeriesAndRacialEthnicGroup[[#This Row],[Black Female Avg Salary]]/FemalePayGapsByOccupationalSeriesAndRacialEthnicGroup[[#This Row],[White Male Average Salary]],"")</f>
        <v>1.0927440485991318</v>
      </c>
      <c r="T184" s="10" t="str">
        <f>IFERROR(FemalePayGapsByOccupationalSeriesAndRacialEthnicGroup[[#This Row],[Hispanic Latino Female Employees]]/U$318,"")</f>
        <v/>
      </c>
      <c r="U184" s="8" t="s">
        <v>0</v>
      </c>
      <c r="V184" s="6" t="s">
        <v>0</v>
      </c>
      <c r="W18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84" s="10" t="str">
        <f>IFERROR(FemalePayGapsByOccupationalSeriesAndRacialEthnicGroup[[#This Row],[Other Female Employees]]/Y$318,"")</f>
        <v/>
      </c>
      <c r="Y184" s="8" t="s">
        <v>0</v>
      </c>
      <c r="Z184" s="6" t="s">
        <v>0</v>
      </c>
      <c r="AA18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85" spans="1:27" ht="15.6" x14ac:dyDescent="0.3">
      <c r="A185" s="46" t="s">
        <v>194</v>
      </c>
      <c r="B185" s="40">
        <v>43</v>
      </c>
      <c r="C185" s="41">
        <v>68595.674418605005</v>
      </c>
      <c r="D185" s="70">
        <f>IFERROR(FemalePayGapsByOccupationalSeriesAndRacialEthnicGroup[[#This Row],[White Female Employees]]/E$318,"")</f>
        <v>1.8400956849756188E-4</v>
      </c>
      <c r="E185" s="16">
        <v>84</v>
      </c>
      <c r="F185" s="17">
        <v>69552.083333332994</v>
      </c>
      <c r="G185" s="18">
        <f>IFERROR(FemalePayGapsByOccupationalSeriesAndRacialEthnicGroup[[#This Row],[White Female Avg Salary]]/FemalePayGapsByOccupationalSeriesAndRacialEthnicGroup[[#This Row],[White Male Average Salary]],"")</f>
        <v>1.0139427000730614</v>
      </c>
      <c r="H185" s="10" t="str">
        <f>IFERROR(FemalePayGapsByOccupationalSeriesAndRacialEthnicGroup[[#This Row],[AIAN Female Employees]]/I$318,"")</f>
        <v/>
      </c>
      <c r="I185" t="s">
        <v>0</v>
      </c>
      <c r="J185" s="6" t="s">
        <v>0</v>
      </c>
      <c r="K185" s="52" t="str">
        <f>IFERROR(FemalePayGapsByOccupationalSeriesAndRacialEthnicGroup[[#This Row],[AIAN Female Avg Salary]]/FemalePayGapsByOccupationalSeriesAndRacialEthnicGroup[[#This Row],[White Male Average Salary]],"")</f>
        <v/>
      </c>
      <c r="L185" s="10" t="str">
        <f>IFERROR(FemalePayGapsByOccupationalSeriesAndRacialEthnicGroup[[#This Row],[ANHPI Female Employees]]/M$318,"")</f>
        <v/>
      </c>
      <c r="M185" s="8" t="s">
        <v>0</v>
      </c>
      <c r="N185" s="6" t="s">
        <v>0</v>
      </c>
      <c r="O185" s="52" t="str">
        <f>IFERROR(FemalePayGapsByOccupationalSeriesAndRacialEthnicGroup[[#This Row],[ANHPI Female Avg Salary]]/FemalePayGapsByOccupationalSeriesAndRacialEthnicGroup[[#This Row],[White Male Average Salary]],"")</f>
        <v/>
      </c>
      <c r="P185" s="10" t="str">
        <f>IFERROR(FemalePayGapsByOccupationalSeriesAndRacialEthnicGroup[[#This Row],[Black Female Employees]]/Q$318,"")</f>
        <v/>
      </c>
      <c r="Q185" s="8" t="s">
        <v>0</v>
      </c>
      <c r="R185" s="6" t="s">
        <v>0</v>
      </c>
      <c r="S185" s="52" t="str">
        <f>IFERROR(FemalePayGapsByOccupationalSeriesAndRacialEthnicGroup[[#This Row],[Black Female Avg Salary]]/FemalePayGapsByOccupationalSeriesAndRacialEthnicGroup[[#This Row],[White Male Average Salary]],"")</f>
        <v/>
      </c>
      <c r="T185" s="10" t="str">
        <f>IFERROR(FemalePayGapsByOccupationalSeriesAndRacialEthnicGroup[[#This Row],[Hispanic Latino Female Employees]]/U$318,"")</f>
        <v/>
      </c>
      <c r="U185" s="8" t="s">
        <v>0</v>
      </c>
      <c r="V185" s="6" t="s">
        <v>0</v>
      </c>
      <c r="W18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85" s="10" t="str">
        <f>IFERROR(FemalePayGapsByOccupationalSeriesAndRacialEthnicGroup[[#This Row],[Other Female Employees]]/Y$318,"")</f>
        <v/>
      </c>
      <c r="Y185" s="8" t="s">
        <v>0</v>
      </c>
      <c r="Z185" s="6" t="s">
        <v>0</v>
      </c>
      <c r="AA18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86" spans="1:27" ht="15.6" x14ac:dyDescent="0.3">
      <c r="A186" s="45" t="s">
        <v>195</v>
      </c>
      <c r="B186" s="38">
        <v>380</v>
      </c>
      <c r="C186" s="39">
        <v>85568.476315788997</v>
      </c>
      <c r="D186" s="69">
        <f>IFERROR(FemalePayGapsByOccupationalSeriesAndRacialEthnicGroup[[#This Row],[White Female Employees]]/E$318,"")</f>
        <v>8.6747368005993459E-4</v>
      </c>
      <c r="E186" s="67">
        <v>396</v>
      </c>
      <c r="F186" s="64">
        <v>87428.164141414003</v>
      </c>
      <c r="G186" s="72">
        <f>IFERROR(FemalePayGapsByOccupationalSeriesAndRacialEthnicGroup[[#This Row],[White Female Avg Salary]]/FemalePayGapsByOccupationalSeriesAndRacialEthnicGroup[[#This Row],[White Male Average Salary]],"")</f>
        <v>1.0217333287408539</v>
      </c>
      <c r="H186" s="10" t="str">
        <f>IFERROR(FemalePayGapsByOccupationalSeriesAndRacialEthnicGroup[[#This Row],[AIAN Female Employees]]/I$318,"")</f>
        <v/>
      </c>
      <c r="I186" t="s">
        <v>0</v>
      </c>
      <c r="J186" s="6" t="s">
        <v>0</v>
      </c>
      <c r="K186" s="52" t="str">
        <f>IFERROR(FemalePayGapsByOccupationalSeriesAndRacialEthnicGroup[[#This Row],[AIAN Female Avg Salary]]/FemalePayGapsByOccupationalSeriesAndRacialEthnicGroup[[#This Row],[White Male Average Salary]],"")</f>
        <v/>
      </c>
      <c r="L186" s="10">
        <f>IFERROR(FemalePayGapsByOccupationalSeriesAndRacialEthnicGroup[[#This Row],[ANHPI Female Employees]]/M$318,"")</f>
        <v>9.6640947704777487E-4</v>
      </c>
      <c r="M186" s="8">
        <v>62</v>
      </c>
      <c r="N186" s="6">
        <v>84224</v>
      </c>
      <c r="O186" s="52">
        <f>IFERROR(FemalePayGapsByOccupationalSeriesAndRacialEthnicGroup[[#This Row],[ANHPI Female Avg Salary]]/FemalePayGapsByOccupationalSeriesAndRacialEthnicGroup[[#This Row],[White Male Average Salary]],"")</f>
        <v>0.98428771466226384</v>
      </c>
      <c r="P186" s="10">
        <f>IFERROR(FemalePayGapsByOccupationalSeriesAndRacialEthnicGroup[[#This Row],[Black Female Employees]]/Q$318,"")</f>
        <v>1.2641684290568638E-3</v>
      </c>
      <c r="Q186" s="8">
        <v>266</v>
      </c>
      <c r="R186" s="6">
        <v>83005.943609023001</v>
      </c>
      <c r="S186" s="52">
        <f>IFERROR(FemalePayGapsByOccupationalSeriesAndRacialEthnicGroup[[#This Row],[Black Female Avg Salary]]/FemalePayGapsByOccupationalSeriesAndRacialEthnicGroup[[#This Row],[White Male Average Salary]],"")</f>
        <v>0.97005284168776107</v>
      </c>
      <c r="T186" s="10">
        <f>IFERROR(FemalePayGapsByOccupationalSeriesAndRacialEthnicGroup[[#This Row],[Hispanic Latino Female Employees]]/U$318,"")</f>
        <v>1.4869316652352813E-3</v>
      </c>
      <c r="U186" s="8">
        <v>116</v>
      </c>
      <c r="V186" s="6">
        <v>83787.689655171998</v>
      </c>
      <c r="W186" s="52">
        <f>IFERROR(FemalePayGapsByOccupationalSeriesAndRacialEthnicGroup[[#This Row],[Hispanic Latino Female Avg Salary]]/FemalePayGapsByOccupationalSeriesAndRacialEthnicGroup[[#This Row],[White Male Average Salary]],"")</f>
        <v>0.97918875341375677</v>
      </c>
      <c r="X186" s="10" t="str">
        <f>IFERROR(FemalePayGapsByOccupationalSeriesAndRacialEthnicGroup[[#This Row],[Other Female Employees]]/Y$318,"")</f>
        <v/>
      </c>
      <c r="Y186" s="8" t="s">
        <v>0</v>
      </c>
      <c r="Z186" s="6" t="s">
        <v>0</v>
      </c>
      <c r="AA18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87" spans="1:27" ht="15.6" x14ac:dyDescent="0.3">
      <c r="A187" s="46" t="s">
        <v>196</v>
      </c>
      <c r="B187" s="40">
        <v>417</v>
      </c>
      <c r="C187" s="41">
        <v>57113.700239808</v>
      </c>
      <c r="D187" s="70">
        <f>IFERROR(FemalePayGapsByOccupationalSeriesAndRacialEthnicGroup[[#This Row],[White Female Employees]]/E$318,"")</f>
        <v>3.77438674430118E-3</v>
      </c>
      <c r="E187" s="16">
        <v>1723</v>
      </c>
      <c r="F187" s="17">
        <v>57051.264074289</v>
      </c>
      <c r="G187" s="18">
        <f>IFERROR(FemalePayGapsByOccupationalSeriesAndRacialEthnicGroup[[#This Row],[White Female Avg Salary]]/FemalePayGapsByOccupationalSeriesAndRacialEthnicGroup[[#This Row],[White Male Average Salary]],"")</f>
        <v>0.99890680930745435</v>
      </c>
      <c r="H187" s="10" t="str">
        <f>IFERROR(FemalePayGapsByOccupationalSeriesAndRacialEthnicGroup[[#This Row],[AIAN Female Employees]]/I$318,"")</f>
        <v/>
      </c>
      <c r="I187" t="s">
        <v>0</v>
      </c>
      <c r="J187" s="6" t="s">
        <v>0</v>
      </c>
      <c r="K187" s="52" t="str">
        <f>IFERROR(FemalePayGapsByOccupationalSeriesAndRacialEthnicGroup[[#This Row],[AIAN Female Avg Salary]]/FemalePayGapsByOccupationalSeriesAndRacialEthnicGroup[[#This Row],[White Male Average Salary]],"")</f>
        <v/>
      </c>
      <c r="L187" s="10">
        <f>IFERROR(FemalePayGapsByOccupationalSeriesAndRacialEthnicGroup[[#This Row],[ANHPI Female Employees]]/M$318,"")</f>
        <v>2.6965941859558879E-3</v>
      </c>
      <c r="M187" s="8">
        <v>173</v>
      </c>
      <c r="N187" s="6">
        <v>61085.734104046001</v>
      </c>
      <c r="O187" s="52">
        <f>IFERROR(FemalePayGapsByOccupationalSeriesAndRacialEthnicGroup[[#This Row],[ANHPI Female Avg Salary]]/FemalePayGapsByOccupationalSeriesAndRacialEthnicGroup[[#This Row],[White Male Average Salary]],"")</f>
        <v>1.0695460782187163</v>
      </c>
      <c r="P187" s="10">
        <f>IFERROR(FemalePayGapsByOccupationalSeriesAndRacialEthnicGroup[[#This Row],[Black Female Employees]]/Q$318,"")</f>
        <v>5.9026210108594924E-3</v>
      </c>
      <c r="Q187" s="8">
        <v>1242</v>
      </c>
      <c r="R187" s="6">
        <v>61138.336553945002</v>
      </c>
      <c r="S187" s="52">
        <f>IFERROR(FemalePayGapsByOccupationalSeriesAndRacialEthnicGroup[[#This Row],[Black Female Avg Salary]]/FemalePayGapsByOccupationalSeriesAndRacialEthnicGroup[[#This Row],[White Male Average Salary]],"")</f>
        <v>1.070467091034873</v>
      </c>
      <c r="T187" s="10">
        <f>IFERROR(FemalePayGapsByOccupationalSeriesAndRacialEthnicGroup[[#This Row],[Hispanic Latino Female Employees]]/U$318,"")</f>
        <v>7.7551177367874589E-3</v>
      </c>
      <c r="U187" s="8">
        <v>605</v>
      </c>
      <c r="V187" s="6">
        <v>57465.383471073997</v>
      </c>
      <c r="W187" s="52">
        <f>IFERROR(FemalePayGapsByOccupationalSeriesAndRacialEthnicGroup[[#This Row],[Hispanic Latino Female Avg Salary]]/FemalePayGapsByOccupationalSeriesAndRacialEthnicGroup[[#This Row],[White Male Average Salary]],"")</f>
        <v>1.0061575984359157</v>
      </c>
      <c r="X187" s="10">
        <f>IFERROR(FemalePayGapsByOccupationalSeriesAndRacialEthnicGroup[[#This Row],[Other Female Employees]]/Y$318,"")</f>
        <v>4.4090215363744275E-3</v>
      </c>
      <c r="Y187" s="8">
        <v>78</v>
      </c>
      <c r="Z187" s="6">
        <v>54709.141025641002</v>
      </c>
      <c r="AA187" s="1">
        <f>IFERROR(FemalePayGapsByOccupationalSeriesAndRacialEthnicGroup[[#This Row],[Other Female Avg Salary]]/FemalePayGapsByOccupationalSeriesAndRacialEthnicGroup[[#This Row],[White Male Average Salary]],"")</f>
        <v>0.9578987317566402</v>
      </c>
    </row>
    <row r="188" spans="1:27" ht="15.6" x14ac:dyDescent="0.3">
      <c r="A188" s="45" t="s">
        <v>197</v>
      </c>
      <c r="B188" s="38">
        <v>126</v>
      </c>
      <c r="C188" s="39">
        <v>135175.18253968301</v>
      </c>
      <c r="D188" s="69">
        <f>IFERROR(FemalePayGapsByOccupationalSeriesAndRacialEthnicGroup[[#This Row],[White Female Employees]]/E$318,"")</f>
        <v>1.6648484768827027E-4</v>
      </c>
      <c r="E188" s="67">
        <v>76</v>
      </c>
      <c r="F188" s="64">
        <v>125837.407894737</v>
      </c>
      <c r="G188" s="72">
        <f>IFERROR(FemalePayGapsByOccupationalSeriesAndRacialEthnicGroup[[#This Row],[White Female Avg Salary]]/FemalePayGapsByOccupationalSeriesAndRacialEthnicGroup[[#This Row],[White Male Average Salary]],"")</f>
        <v>0.93092093926187414</v>
      </c>
      <c r="H188" s="10" t="str">
        <f>IFERROR(FemalePayGapsByOccupationalSeriesAndRacialEthnicGroup[[#This Row],[AIAN Female Employees]]/I$318,"")</f>
        <v/>
      </c>
      <c r="I188" t="s">
        <v>0</v>
      </c>
      <c r="J188" s="6" t="s">
        <v>0</v>
      </c>
      <c r="K188" s="52" t="str">
        <f>IFERROR(FemalePayGapsByOccupationalSeriesAndRacialEthnicGroup[[#This Row],[AIAN Female Avg Salary]]/FemalePayGapsByOccupationalSeriesAndRacialEthnicGroup[[#This Row],[White Male Average Salary]],"")</f>
        <v/>
      </c>
      <c r="L188" s="10" t="str">
        <f>IFERROR(FemalePayGapsByOccupationalSeriesAndRacialEthnicGroup[[#This Row],[ANHPI Female Employees]]/M$318,"")</f>
        <v/>
      </c>
      <c r="M188" s="8" t="s">
        <v>0</v>
      </c>
      <c r="N188" s="6" t="s">
        <v>0</v>
      </c>
      <c r="O188" s="52" t="str">
        <f>IFERROR(FemalePayGapsByOccupationalSeriesAndRacialEthnicGroup[[#This Row],[ANHPI Female Avg Salary]]/FemalePayGapsByOccupationalSeriesAndRacialEthnicGroup[[#This Row],[White Male Average Salary]],"")</f>
        <v/>
      </c>
      <c r="P188" s="10" t="str">
        <f>IFERROR(FemalePayGapsByOccupationalSeriesAndRacialEthnicGroup[[#This Row],[Black Female Employees]]/Q$318,"")</f>
        <v/>
      </c>
      <c r="Q188" s="8" t="s">
        <v>0</v>
      </c>
      <c r="R188" s="6" t="s">
        <v>0</v>
      </c>
      <c r="S188" s="52" t="str">
        <f>IFERROR(FemalePayGapsByOccupationalSeriesAndRacialEthnicGroup[[#This Row],[Black Female Avg Salary]]/FemalePayGapsByOccupationalSeriesAndRacialEthnicGroup[[#This Row],[White Male Average Salary]],"")</f>
        <v/>
      </c>
      <c r="T188" s="10" t="str">
        <f>IFERROR(FemalePayGapsByOccupationalSeriesAndRacialEthnicGroup[[#This Row],[Hispanic Latino Female Employees]]/U$318,"")</f>
        <v/>
      </c>
      <c r="U188" s="8" t="s">
        <v>0</v>
      </c>
      <c r="V188" s="6" t="s">
        <v>0</v>
      </c>
      <c r="W18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88" s="10" t="str">
        <f>IFERROR(FemalePayGapsByOccupationalSeriesAndRacialEthnicGroup[[#This Row],[Other Female Employees]]/Y$318,"")</f>
        <v/>
      </c>
      <c r="Y188" s="8" t="s">
        <v>0</v>
      </c>
      <c r="Z188" s="6" t="s">
        <v>0</v>
      </c>
      <c r="AA18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89" spans="1:27" ht="31.2" x14ac:dyDescent="0.3">
      <c r="A189" s="46" t="s">
        <v>198</v>
      </c>
      <c r="B189" s="40">
        <v>278</v>
      </c>
      <c r="C189" s="41">
        <v>101248.67266187099</v>
      </c>
      <c r="D189" s="70">
        <f>IFERROR(FemalePayGapsByOccupationalSeriesAndRacialEthnicGroup[[#This Row],[White Female Employees]]/E$318,"")</f>
        <v>6.5498644024727384E-4</v>
      </c>
      <c r="E189" s="16">
        <v>299</v>
      </c>
      <c r="F189" s="17">
        <v>102286.91638795999</v>
      </c>
      <c r="G189" s="18">
        <f>IFERROR(FemalePayGapsByOccupationalSeriesAndRacialEthnicGroup[[#This Row],[White Female Avg Salary]]/FemalePayGapsByOccupationalSeriesAndRacialEthnicGroup[[#This Row],[White Male Average Salary]],"")</f>
        <v>1.0102543934531991</v>
      </c>
      <c r="H189" s="10" t="str">
        <f>IFERROR(FemalePayGapsByOccupationalSeriesAndRacialEthnicGroup[[#This Row],[AIAN Female Employees]]/I$318,"")</f>
        <v/>
      </c>
      <c r="I189" t="s">
        <v>0</v>
      </c>
      <c r="J189" s="6" t="s">
        <v>0</v>
      </c>
      <c r="K189" s="52" t="str">
        <f>IFERROR(FemalePayGapsByOccupationalSeriesAndRacialEthnicGroup[[#This Row],[AIAN Female Avg Salary]]/FemalePayGapsByOccupationalSeriesAndRacialEthnicGroup[[#This Row],[White Male Average Salary]],"")</f>
        <v/>
      </c>
      <c r="L189" s="10" t="str">
        <f>IFERROR(FemalePayGapsByOccupationalSeriesAndRacialEthnicGroup[[#This Row],[ANHPI Female Employees]]/M$318,"")</f>
        <v/>
      </c>
      <c r="M189" s="8" t="s">
        <v>0</v>
      </c>
      <c r="N189" s="6" t="s">
        <v>0</v>
      </c>
      <c r="O189" s="52" t="str">
        <f>IFERROR(FemalePayGapsByOccupationalSeriesAndRacialEthnicGroup[[#This Row],[ANHPI Female Avg Salary]]/FemalePayGapsByOccupationalSeriesAndRacialEthnicGroup[[#This Row],[White Male Average Salary]],"")</f>
        <v/>
      </c>
      <c r="P189" s="10">
        <f>IFERROR(FemalePayGapsByOccupationalSeriesAndRacialEthnicGroup[[#This Row],[Black Female Employees]]/Q$318,"")</f>
        <v>1.4210013544661739E-3</v>
      </c>
      <c r="Q189" s="8">
        <v>299</v>
      </c>
      <c r="R189" s="6">
        <v>92807.183946488003</v>
      </c>
      <c r="S189" s="52">
        <f>IFERROR(FemalePayGapsByOccupationalSeriesAndRacialEthnicGroup[[#This Row],[Black Female Avg Salary]]/FemalePayGapsByOccupationalSeriesAndRacialEthnicGroup[[#This Row],[White Male Average Salary]],"")</f>
        <v>0.91662617895669507</v>
      </c>
      <c r="T189" s="10">
        <f>IFERROR(FemalePayGapsByOccupationalSeriesAndRacialEthnicGroup[[#This Row],[Hispanic Latino Female Employees]]/U$318,"")</f>
        <v>8.0755771473985105E-4</v>
      </c>
      <c r="U189" s="8">
        <v>63</v>
      </c>
      <c r="V189" s="6">
        <v>96931.015873016004</v>
      </c>
      <c r="W189" s="52">
        <f>IFERROR(FemalePayGapsByOccupationalSeriesAndRacialEthnicGroup[[#This Row],[Hispanic Latino Female Avg Salary]]/FemalePayGapsByOccupationalSeriesAndRacialEthnicGroup[[#This Row],[White Male Average Salary]],"")</f>
        <v>0.95735591711632417</v>
      </c>
      <c r="X189" s="10" t="str">
        <f>IFERROR(FemalePayGapsByOccupationalSeriesAndRacialEthnicGroup[[#This Row],[Other Female Employees]]/Y$318,"")</f>
        <v/>
      </c>
      <c r="Y189" s="8" t="s">
        <v>0</v>
      </c>
      <c r="Z189" s="6" t="s">
        <v>0</v>
      </c>
      <c r="AA18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90" spans="1:27" ht="15.6" x14ac:dyDescent="0.3">
      <c r="A190" s="45" t="s">
        <v>199</v>
      </c>
      <c r="B190" s="38">
        <v>63</v>
      </c>
      <c r="C190" s="39">
        <v>79905.761904761996</v>
      </c>
      <c r="D190" s="69">
        <f>IFERROR(FemalePayGapsByOccupationalSeriesAndRacialEthnicGroup[[#This Row],[White Female Employees]]/E$318,"")</f>
        <v>1.3362599617084851E-4</v>
      </c>
      <c r="E190" s="67">
        <v>61</v>
      </c>
      <c r="F190" s="64">
        <v>81563.672131148007</v>
      </c>
      <c r="G190" s="72">
        <f>IFERROR(FemalePayGapsByOccupationalSeriesAndRacialEthnicGroup[[#This Row],[White Female Avg Salary]]/FemalePayGapsByOccupationalSeriesAndRacialEthnicGroup[[#This Row],[White Male Average Salary]],"")</f>
        <v>1.0207483188554292</v>
      </c>
      <c r="H190" s="10" t="str">
        <f>IFERROR(FemalePayGapsByOccupationalSeriesAndRacialEthnicGroup[[#This Row],[AIAN Female Employees]]/I$318,"")</f>
        <v/>
      </c>
      <c r="I190" t="s">
        <v>0</v>
      </c>
      <c r="J190" s="6" t="s">
        <v>0</v>
      </c>
      <c r="K190" s="52" t="str">
        <f>IFERROR(FemalePayGapsByOccupationalSeriesAndRacialEthnicGroup[[#This Row],[AIAN Female Avg Salary]]/FemalePayGapsByOccupationalSeriesAndRacialEthnicGroup[[#This Row],[White Male Average Salary]],"")</f>
        <v/>
      </c>
      <c r="L190" s="10" t="str">
        <f>IFERROR(FemalePayGapsByOccupationalSeriesAndRacialEthnicGroup[[#This Row],[ANHPI Female Employees]]/M$318,"")</f>
        <v/>
      </c>
      <c r="M190" s="8" t="s">
        <v>0</v>
      </c>
      <c r="N190" s="6" t="s">
        <v>0</v>
      </c>
      <c r="O190" s="52" t="str">
        <f>IFERROR(FemalePayGapsByOccupationalSeriesAndRacialEthnicGroup[[#This Row],[ANHPI Female Avg Salary]]/FemalePayGapsByOccupationalSeriesAndRacialEthnicGroup[[#This Row],[White Male Average Salary]],"")</f>
        <v/>
      </c>
      <c r="P190" s="10">
        <f>IFERROR(FemalePayGapsByOccupationalSeriesAndRacialEthnicGroup[[#This Row],[Black Female Employees]]/Q$318,"")</f>
        <v>4.5624123755435685E-4</v>
      </c>
      <c r="Q190" s="8">
        <v>96</v>
      </c>
      <c r="R190" s="6">
        <v>83765.010416667006</v>
      </c>
      <c r="S190" s="52">
        <f>IFERROR(FemalePayGapsByOccupationalSeriesAndRacialEthnicGroup[[#This Row],[Black Female Avg Salary]]/FemalePayGapsByOccupationalSeriesAndRacialEthnicGroup[[#This Row],[White Male Average Salary]],"")</f>
        <v>1.0482974997035228</v>
      </c>
      <c r="T190" s="10" t="str">
        <f>IFERROR(FemalePayGapsByOccupationalSeriesAndRacialEthnicGroup[[#This Row],[Hispanic Latino Female Employees]]/U$318,"")</f>
        <v/>
      </c>
      <c r="U190" s="8" t="s">
        <v>0</v>
      </c>
      <c r="V190" s="6" t="s">
        <v>0</v>
      </c>
      <c r="W19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90" s="10" t="str">
        <f>IFERROR(FemalePayGapsByOccupationalSeriesAndRacialEthnicGroup[[#This Row],[Other Female Employees]]/Y$318,"")</f>
        <v/>
      </c>
      <c r="Y190" s="8" t="s">
        <v>0</v>
      </c>
      <c r="Z190" s="6" t="s">
        <v>0</v>
      </c>
      <c r="AA19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91" spans="1:27" ht="15.6" x14ac:dyDescent="0.3">
      <c r="A191" s="46" t="s">
        <v>200</v>
      </c>
      <c r="B191" s="40">
        <v>4502</v>
      </c>
      <c r="C191" s="41">
        <v>80531.105801288999</v>
      </c>
      <c r="D191" s="70">
        <f>IFERROR(FemalePayGapsByOccupationalSeriesAndRacialEthnicGroup[[#This Row],[White Female Employees]]/E$318,"")</f>
        <v>8.365863596335581E-3</v>
      </c>
      <c r="E191" s="16">
        <v>3819</v>
      </c>
      <c r="F191" s="17">
        <v>79011.822327044007</v>
      </c>
      <c r="G191" s="18">
        <f>IFERROR(FemalePayGapsByOccupationalSeriesAndRacialEthnicGroup[[#This Row],[White Female Avg Salary]]/FemalePayGapsByOccupationalSeriesAndRacialEthnicGroup[[#This Row],[White Male Average Salary]],"")</f>
        <v>0.98113420324819789</v>
      </c>
      <c r="H191" s="10">
        <f>IFERROR(FemalePayGapsByOccupationalSeriesAndRacialEthnicGroup[[#This Row],[AIAN Female Employees]]/I$318,"")</f>
        <v>1.2218844984802432E-2</v>
      </c>
      <c r="I191">
        <v>201</v>
      </c>
      <c r="J191" s="6">
        <v>71919.393034826004</v>
      </c>
      <c r="K191" s="52">
        <f>IFERROR(FemalePayGapsByOccupationalSeriesAndRacialEthnicGroup[[#This Row],[AIAN Female Avg Salary]]/FemalePayGapsByOccupationalSeriesAndRacialEthnicGroup[[#This Row],[White Male Average Salary]],"")</f>
        <v>0.89306352271242306</v>
      </c>
      <c r="L191" s="10">
        <f>IFERROR(FemalePayGapsByOccupationalSeriesAndRacialEthnicGroup[[#This Row],[ANHPI Female Employees]]/M$318,"")</f>
        <v>4.2553191489361703E-3</v>
      </c>
      <c r="M191" s="8">
        <v>273</v>
      </c>
      <c r="N191" s="6">
        <v>79269.941391941</v>
      </c>
      <c r="O191" s="52">
        <f>IFERROR(FemalePayGapsByOccupationalSeriesAndRacialEthnicGroup[[#This Row],[ANHPI Female Avg Salary]]/FemalePayGapsByOccupationalSeriesAndRacialEthnicGroup[[#This Row],[White Male Average Salary]],"")</f>
        <v>0.98433941274245096</v>
      </c>
      <c r="P191" s="10">
        <f>IFERROR(FemalePayGapsByOccupationalSeriesAndRacialEthnicGroup[[#This Row],[Black Female Employees]]/Q$318,"")</f>
        <v>1.3311788608226599E-2</v>
      </c>
      <c r="Q191" s="8">
        <v>2801</v>
      </c>
      <c r="R191" s="6">
        <v>76030.008583691</v>
      </c>
      <c r="S191" s="52">
        <f>IFERROR(FemalePayGapsByOccupationalSeriesAndRacialEthnicGroup[[#This Row],[Black Female Avg Salary]]/FemalePayGapsByOccupationalSeriesAndRacialEthnicGroup[[#This Row],[White Male Average Salary]],"")</f>
        <v>0.94410734618863323</v>
      </c>
      <c r="T191" s="10">
        <f>IFERROR(FemalePayGapsByOccupationalSeriesAndRacialEthnicGroup[[#This Row],[Hispanic Latino Female Employees]]/U$318,"")</f>
        <v>5.4606283568123266E-3</v>
      </c>
      <c r="U191" s="8">
        <v>426</v>
      </c>
      <c r="V191" s="6">
        <v>80310.607058823996</v>
      </c>
      <c r="W191" s="52">
        <f>IFERROR(FemalePayGapsByOccupationalSeriesAndRacialEthnicGroup[[#This Row],[Hispanic Latino Female Avg Salary]]/FemalePayGapsByOccupationalSeriesAndRacialEthnicGroup[[#This Row],[White Male Average Salary]],"")</f>
        <v>0.99726194319237238</v>
      </c>
      <c r="X191" s="10">
        <f>IFERROR(FemalePayGapsByOccupationalSeriesAndRacialEthnicGroup[[#This Row],[Other Female Employees]]/Y$318,"")</f>
        <v>1.2322649934995196E-2</v>
      </c>
      <c r="Y191" s="8">
        <v>218</v>
      </c>
      <c r="Z191" s="6">
        <v>76708.784403669997</v>
      </c>
      <c r="AA191" s="1">
        <f>IFERROR(FemalePayGapsByOccupationalSeriesAndRacialEthnicGroup[[#This Row],[Other Female Avg Salary]]/FemalePayGapsByOccupationalSeriesAndRacialEthnicGroup[[#This Row],[White Male Average Salary]],"")</f>
        <v>0.95253608702393078</v>
      </c>
    </row>
    <row r="192" spans="1:27" ht="15.6" x14ac:dyDescent="0.3">
      <c r="A192" s="45" t="s">
        <v>201</v>
      </c>
      <c r="B192" s="38">
        <v>175</v>
      </c>
      <c r="C192" s="39">
        <v>53029.126436781997</v>
      </c>
      <c r="D192" s="69">
        <f>IFERROR(FemalePayGapsByOccupationalSeriesAndRacialEthnicGroup[[#This Row],[White Female Employees]]/E$318,"")</f>
        <v>4.6221451134506613E-4</v>
      </c>
      <c r="E192" s="67">
        <v>211</v>
      </c>
      <c r="F192" s="64">
        <v>54975.595238094997</v>
      </c>
      <c r="G192" s="72">
        <f>IFERROR(FemalePayGapsByOccupationalSeriesAndRacialEthnicGroup[[#This Row],[White Female Avg Salary]]/FemalePayGapsByOccupationalSeriesAndRacialEthnicGroup[[#This Row],[White Male Average Salary]],"")</f>
        <v>1.0367056546487421</v>
      </c>
      <c r="H192" s="10" t="str">
        <f>IFERROR(FemalePayGapsByOccupationalSeriesAndRacialEthnicGroup[[#This Row],[AIAN Female Employees]]/I$318,"")</f>
        <v/>
      </c>
      <c r="I192" t="s">
        <v>0</v>
      </c>
      <c r="J192" s="6" t="s">
        <v>0</v>
      </c>
      <c r="K192" s="52" t="str">
        <f>IFERROR(FemalePayGapsByOccupationalSeriesAndRacialEthnicGroup[[#This Row],[AIAN Female Avg Salary]]/FemalePayGapsByOccupationalSeriesAndRacialEthnicGroup[[#This Row],[White Male Average Salary]],"")</f>
        <v/>
      </c>
      <c r="L192" s="10" t="str">
        <f>IFERROR(FemalePayGapsByOccupationalSeriesAndRacialEthnicGroup[[#This Row],[ANHPI Female Employees]]/M$318,"")</f>
        <v/>
      </c>
      <c r="M192" s="8" t="s">
        <v>0</v>
      </c>
      <c r="N192" s="6" t="s">
        <v>0</v>
      </c>
      <c r="O192" s="52" t="str">
        <f>IFERROR(FemalePayGapsByOccupationalSeriesAndRacialEthnicGroup[[#This Row],[ANHPI Female Avg Salary]]/FemalePayGapsByOccupationalSeriesAndRacialEthnicGroup[[#This Row],[White Male Average Salary]],"")</f>
        <v/>
      </c>
      <c r="P192" s="10">
        <f>IFERROR(FemalePayGapsByOccupationalSeriesAndRacialEthnicGroup[[#This Row],[Black Female Employees]]/Q$318,"")</f>
        <v>2.3762564455956088E-3</v>
      </c>
      <c r="Q192" s="8">
        <v>500</v>
      </c>
      <c r="R192" s="6">
        <v>58551.488977956004</v>
      </c>
      <c r="S192" s="52">
        <f>IFERROR(FemalePayGapsByOccupationalSeriesAndRacialEthnicGroup[[#This Row],[Black Female Avg Salary]]/FemalePayGapsByOccupationalSeriesAndRacialEthnicGroup[[#This Row],[White Male Average Salary]],"")</f>
        <v>1.1041382898840966</v>
      </c>
      <c r="T192" s="10" t="str">
        <f>IFERROR(FemalePayGapsByOccupationalSeriesAndRacialEthnicGroup[[#This Row],[Hispanic Latino Female Employees]]/U$318,"")</f>
        <v/>
      </c>
      <c r="U192" s="8" t="s">
        <v>0</v>
      </c>
      <c r="V192" s="6" t="s">
        <v>0</v>
      </c>
      <c r="W19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92" s="10" t="str">
        <f>IFERROR(FemalePayGapsByOccupationalSeriesAndRacialEthnicGroup[[#This Row],[Other Female Employees]]/Y$318,"")</f>
        <v/>
      </c>
      <c r="Y192" s="8" t="s">
        <v>0</v>
      </c>
      <c r="Z192" s="6" t="s">
        <v>0</v>
      </c>
      <c r="AA19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93" spans="1:27" ht="15.6" x14ac:dyDescent="0.3">
      <c r="A193" s="46" t="s">
        <v>202</v>
      </c>
      <c r="B193" s="40">
        <v>897</v>
      </c>
      <c r="C193" s="41">
        <v>111297.988839286</v>
      </c>
      <c r="D193" s="70">
        <f>IFERROR(FemalePayGapsByOccupationalSeriesAndRacialEthnicGroup[[#This Row],[White Female Employees]]/E$318,"")</f>
        <v>2.7973835591831729E-3</v>
      </c>
      <c r="E193" s="16">
        <v>1277</v>
      </c>
      <c r="F193" s="17">
        <v>110958.31661441999</v>
      </c>
      <c r="G193" s="18">
        <f>IFERROR(FemalePayGapsByOccupationalSeriesAndRacialEthnicGroup[[#This Row],[White Female Avg Salary]]/FemalePayGapsByOccupationalSeriesAndRacialEthnicGroup[[#This Row],[White Male Average Salary]],"")</f>
        <v>0.9969480829940558</v>
      </c>
      <c r="H193" s="10" t="str">
        <f>IFERROR(FemalePayGapsByOccupationalSeriesAndRacialEthnicGroup[[#This Row],[AIAN Female Employees]]/I$318,"")</f>
        <v/>
      </c>
      <c r="I193" t="s">
        <v>0</v>
      </c>
      <c r="J193" s="6" t="s">
        <v>0</v>
      </c>
      <c r="K193" s="52" t="str">
        <f>IFERROR(FemalePayGapsByOccupationalSeriesAndRacialEthnicGroup[[#This Row],[AIAN Female Avg Salary]]/FemalePayGapsByOccupationalSeriesAndRacialEthnicGroup[[#This Row],[White Male Average Salary]],"")</f>
        <v/>
      </c>
      <c r="L193" s="10">
        <f>IFERROR(FemalePayGapsByOccupationalSeriesAndRacialEthnicGroup[[#This Row],[ANHPI Female Employees]]/M$318,"")</f>
        <v>2.5563089392876626E-3</v>
      </c>
      <c r="M193" s="8">
        <v>164</v>
      </c>
      <c r="N193" s="6">
        <v>111220.067073171</v>
      </c>
      <c r="O193" s="52">
        <f>IFERROR(FemalePayGapsByOccupationalSeriesAndRacialEthnicGroup[[#This Row],[ANHPI Female Avg Salary]]/FemalePayGapsByOccupationalSeriesAndRacialEthnicGroup[[#This Row],[White Male Average Salary]],"")</f>
        <v>0.99929988163373262</v>
      </c>
      <c r="P193" s="10">
        <f>IFERROR(FemalePayGapsByOccupationalSeriesAndRacialEthnicGroup[[#This Row],[Black Female Employees]]/Q$318,"")</f>
        <v>1.7346672052847944E-3</v>
      </c>
      <c r="Q193" s="8">
        <v>365</v>
      </c>
      <c r="R193" s="6">
        <v>109787.24109589</v>
      </c>
      <c r="S193" s="52">
        <f>IFERROR(FemalePayGapsByOccupationalSeriesAndRacialEthnicGroup[[#This Row],[Black Female Avg Salary]]/FemalePayGapsByOccupationalSeriesAndRacialEthnicGroup[[#This Row],[White Male Average Salary]],"")</f>
        <v>0.98642610024537358</v>
      </c>
      <c r="T193" s="10">
        <f>IFERROR(FemalePayGapsByOccupationalSeriesAndRacialEthnicGroup[[#This Row],[Hispanic Latino Female Employees]]/U$318,"")</f>
        <v>1.4228397831130709E-3</v>
      </c>
      <c r="U193" s="8">
        <v>111</v>
      </c>
      <c r="V193" s="6">
        <v>104311.87387387401</v>
      </c>
      <c r="W193" s="52">
        <f>IFERROR(FemalePayGapsByOccupationalSeriesAndRacialEthnicGroup[[#This Row],[Hispanic Latino Female Avg Salary]]/FemalePayGapsByOccupationalSeriesAndRacialEthnicGroup[[#This Row],[White Male Average Salary]],"")</f>
        <v>0.93723053724268168</v>
      </c>
      <c r="X193" s="10" t="str">
        <f>IFERROR(FemalePayGapsByOccupationalSeriesAndRacialEthnicGroup[[#This Row],[Other Female Employees]]/Y$318,"")</f>
        <v/>
      </c>
      <c r="Y193" s="8" t="s">
        <v>0</v>
      </c>
      <c r="Z193" s="6" t="s">
        <v>0</v>
      </c>
      <c r="AA19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94" spans="1:27" ht="15.6" x14ac:dyDescent="0.3">
      <c r="A194" s="45" t="s">
        <v>203</v>
      </c>
      <c r="B194" s="38">
        <v>32</v>
      </c>
      <c r="C194" s="39">
        <v>95790.09375</v>
      </c>
      <c r="D194" s="69">
        <f>IFERROR(FemalePayGapsByOccupationalSeriesAndRacialEthnicGroup[[#This Row],[White Female Employees]]/E$318,"")</f>
        <v>6.2431817883101348E-4</v>
      </c>
      <c r="E194" s="67">
        <v>285</v>
      </c>
      <c r="F194" s="64">
        <v>93463.659649123001</v>
      </c>
      <c r="G194" s="72">
        <f>IFERROR(FemalePayGapsByOccupationalSeriesAndRacialEthnicGroup[[#This Row],[White Female Avg Salary]]/FemalePayGapsByOccupationalSeriesAndRacialEthnicGroup[[#This Row],[White Male Average Salary]],"")</f>
        <v>0.97571320780885029</v>
      </c>
      <c r="H194" s="10" t="str">
        <f>IFERROR(FemalePayGapsByOccupationalSeriesAndRacialEthnicGroup[[#This Row],[AIAN Female Employees]]/I$318,"")</f>
        <v/>
      </c>
      <c r="I194" t="s">
        <v>0</v>
      </c>
      <c r="J194" s="6" t="s">
        <v>0</v>
      </c>
      <c r="K194" s="52" t="str">
        <f>IFERROR(FemalePayGapsByOccupationalSeriesAndRacialEthnicGroup[[#This Row],[AIAN Female Avg Salary]]/FemalePayGapsByOccupationalSeriesAndRacialEthnicGroup[[#This Row],[White Male Average Salary]],"")</f>
        <v/>
      </c>
      <c r="L194" s="10" t="str">
        <f>IFERROR(FemalePayGapsByOccupationalSeriesAndRacialEthnicGroup[[#This Row],[ANHPI Female Employees]]/M$318,"")</f>
        <v/>
      </c>
      <c r="M194" s="8" t="s">
        <v>0</v>
      </c>
      <c r="N194" s="6" t="s">
        <v>0</v>
      </c>
      <c r="O194" s="52" t="str">
        <f>IFERROR(FemalePayGapsByOccupationalSeriesAndRacialEthnicGroup[[#This Row],[ANHPI Female Avg Salary]]/FemalePayGapsByOccupationalSeriesAndRacialEthnicGroup[[#This Row],[White Male Average Salary]],"")</f>
        <v/>
      </c>
      <c r="P194" s="10" t="str">
        <f>IFERROR(FemalePayGapsByOccupationalSeriesAndRacialEthnicGroup[[#This Row],[Black Female Employees]]/Q$318,"")</f>
        <v/>
      </c>
      <c r="Q194" s="8" t="s">
        <v>0</v>
      </c>
      <c r="R194" s="6" t="s">
        <v>0</v>
      </c>
      <c r="S194" s="52" t="str">
        <f>IFERROR(FemalePayGapsByOccupationalSeriesAndRacialEthnicGroup[[#This Row],[Black Female Avg Salary]]/FemalePayGapsByOccupationalSeriesAndRacialEthnicGroup[[#This Row],[White Male Average Salary]],"")</f>
        <v/>
      </c>
      <c r="T194" s="10" t="str">
        <f>IFERROR(FemalePayGapsByOccupationalSeriesAndRacialEthnicGroup[[#This Row],[Hispanic Latino Female Employees]]/U$318,"")</f>
        <v/>
      </c>
      <c r="U194" s="8" t="s">
        <v>0</v>
      </c>
      <c r="V194" s="6" t="s">
        <v>0</v>
      </c>
      <c r="W19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94" s="10" t="str">
        <f>IFERROR(FemalePayGapsByOccupationalSeriesAndRacialEthnicGroup[[#This Row],[Other Female Employees]]/Y$318,"")</f>
        <v/>
      </c>
      <c r="Y194" s="8" t="s">
        <v>0</v>
      </c>
      <c r="Z194" s="6" t="s">
        <v>0</v>
      </c>
      <c r="AA19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95" spans="1:27" ht="15.6" x14ac:dyDescent="0.3">
      <c r="A195" s="46" t="s">
        <v>204</v>
      </c>
      <c r="B195" s="40">
        <v>185</v>
      </c>
      <c r="C195" s="41">
        <v>90444.594594594993</v>
      </c>
      <c r="D195" s="70">
        <f>IFERROR(FemalePayGapsByOccupationalSeriesAndRacialEthnicGroup[[#This Row],[White Female Employees]]/E$318,"")</f>
        <v>6.3527112933682076E-5</v>
      </c>
      <c r="E195" s="16">
        <v>29</v>
      </c>
      <c r="F195" s="17">
        <v>87365.172413793</v>
      </c>
      <c r="G195" s="18">
        <f>IFERROR(FemalePayGapsByOccupationalSeriesAndRacialEthnicGroup[[#This Row],[White Female Avg Salary]]/FemalePayGapsByOccupationalSeriesAndRacialEthnicGroup[[#This Row],[White Male Average Salary]],"")</f>
        <v>0.96595239113398579</v>
      </c>
      <c r="H195" s="10" t="str">
        <f>IFERROR(FemalePayGapsByOccupationalSeriesAndRacialEthnicGroup[[#This Row],[AIAN Female Employees]]/I$318,"")</f>
        <v/>
      </c>
      <c r="I195" t="s">
        <v>0</v>
      </c>
      <c r="J195" s="6" t="s">
        <v>0</v>
      </c>
      <c r="K195" s="52" t="str">
        <f>IFERROR(FemalePayGapsByOccupationalSeriesAndRacialEthnicGroup[[#This Row],[AIAN Female Avg Salary]]/FemalePayGapsByOccupationalSeriesAndRacialEthnicGroup[[#This Row],[White Male Average Salary]],"")</f>
        <v/>
      </c>
      <c r="L195" s="10" t="str">
        <f>IFERROR(FemalePayGapsByOccupationalSeriesAndRacialEthnicGroup[[#This Row],[ANHPI Female Employees]]/M$318,"")</f>
        <v/>
      </c>
      <c r="M195" s="8" t="s">
        <v>0</v>
      </c>
      <c r="N195" s="6" t="s">
        <v>0</v>
      </c>
      <c r="O195" s="52" t="str">
        <f>IFERROR(FemalePayGapsByOccupationalSeriesAndRacialEthnicGroup[[#This Row],[ANHPI Female Avg Salary]]/FemalePayGapsByOccupationalSeriesAndRacialEthnicGroup[[#This Row],[White Male Average Salary]],"")</f>
        <v/>
      </c>
      <c r="P195" s="10" t="str">
        <f>IFERROR(FemalePayGapsByOccupationalSeriesAndRacialEthnicGroup[[#This Row],[Black Female Employees]]/Q$318,"")</f>
        <v/>
      </c>
      <c r="Q195" s="8" t="s">
        <v>0</v>
      </c>
      <c r="R195" s="6" t="s">
        <v>0</v>
      </c>
      <c r="S195" s="52" t="str">
        <f>IFERROR(FemalePayGapsByOccupationalSeriesAndRacialEthnicGroup[[#This Row],[Black Female Avg Salary]]/FemalePayGapsByOccupationalSeriesAndRacialEthnicGroup[[#This Row],[White Male Average Salary]],"")</f>
        <v/>
      </c>
      <c r="T195" s="10" t="str">
        <f>IFERROR(FemalePayGapsByOccupationalSeriesAndRacialEthnicGroup[[#This Row],[Hispanic Latino Female Employees]]/U$318,"")</f>
        <v/>
      </c>
      <c r="U195" s="8" t="s">
        <v>0</v>
      </c>
      <c r="V195" s="6" t="s">
        <v>0</v>
      </c>
      <c r="W19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95" s="10" t="str">
        <f>IFERROR(FemalePayGapsByOccupationalSeriesAndRacialEthnicGroup[[#This Row],[Other Female Employees]]/Y$318,"")</f>
        <v/>
      </c>
      <c r="Y195" s="8" t="s">
        <v>0</v>
      </c>
      <c r="Z195" s="6" t="s">
        <v>0</v>
      </c>
      <c r="AA19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96" spans="1:27" ht="15.6" x14ac:dyDescent="0.3">
      <c r="A196" s="45" t="s">
        <v>205</v>
      </c>
      <c r="B196" s="38">
        <v>198</v>
      </c>
      <c r="C196" s="39">
        <v>109489.454545455</v>
      </c>
      <c r="D196" s="69">
        <f>IFERROR(FemalePayGapsByOccupationalSeriesAndRacialEthnicGroup[[#This Row],[White Female Employees]]/E$318,"")</f>
        <v>5.1697926387410246E-4</v>
      </c>
      <c r="E196" s="67">
        <v>236</v>
      </c>
      <c r="F196" s="64">
        <v>108016.826271186</v>
      </c>
      <c r="G196" s="72">
        <f>IFERROR(FemalePayGapsByOccupationalSeriesAndRacialEthnicGroup[[#This Row],[White Female Avg Salary]]/FemalePayGapsByOccupationalSeriesAndRacialEthnicGroup[[#This Row],[White Male Average Salary]],"")</f>
        <v>0.98655004465605745</v>
      </c>
      <c r="H196" s="10" t="str">
        <f>IFERROR(FemalePayGapsByOccupationalSeriesAndRacialEthnicGroup[[#This Row],[AIAN Female Employees]]/I$318,"")</f>
        <v/>
      </c>
      <c r="I196" t="s">
        <v>0</v>
      </c>
      <c r="J196" s="6" t="s">
        <v>0</v>
      </c>
      <c r="K196" s="52" t="str">
        <f>IFERROR(FemalePayGapsByOccupationalSeriesAndRacialEthnicGroup[[#This Row],[AIAN Female Avg Salary]]/FemalePayGapsByOccupationalSeriesAndRacialEthnicGroup[[#This Row],[White Male Average Salary]],"")</f>
        <v/>
      </c>
      <c r="L196" s="10" t="str">
        <f>IFERROR(FemalePayGapsByOccupationalSeriesAndRacialEthnicGroup[[#This Row],[ANHPI Female Employees]]/M$318,"")</f>
        <v/>
      </c>
      <c r="M196" s="8" t="s">
        <v>0</v>
      </c>
      <c r="N196" s="6" t="s">
        <v>0</v>
      </c>
      <c r="O196" s="52" t="str">
        <f>IFERROR(FemalePayGapsByOccupationalSeriesAndRacialEthnicGroup[[#This Row],[ANHPI Female Avg Salary]]/FemalePayGapsByOccupationalSeriesAndRacialEthnicGroup[[#This Row],[White Male Average Salary]],"")</f>
        <v/>
      </c>
      <c r="P196" s="10" t="str">
        <f>IFERROR(FemalePayGapsByOccupationalSeriesAndRacialEthnicGroup[[#This Row],[Black Female Employees]]/Q$318,"")</f>
        <v/>
      </c>
      <c r="Q196" s="8" t="s">
        <v>0</v>
      </c>
      <c r="R196" s="6" t="s">
        <v>0</v>
      </c>
      <c r="S196" s="52" t="str">
        <f>IFERROR(FemalePayGapsByOccupationalSeriesAndRacialEthnicGroup[[#This Row],[Black Female Avg Salary]]/FemalePayGapsByOccupationalSeriesAndRacialEthnicGroup[[#This Row],[White Male Average Salary]],"")</f>
        <v/>
      </c>
      <c r="T196" s="10" t="str">
        <f>IFERROR(FemalePayGapsByOccupationalSeriesAndRacialEthnicGroup[[#This Row],[Hispanic Latino Female Employees]]/U$318,"")</f>
        <v/>
      </c>
      <c r="U196" s="8" t="s">
        <v>0</v>
      </c>
      <c r="V196" s="6" t="s">
        <v>0</v>
      </c>
      <c r="W19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96" s="10" t="str">
        <f>IFERROR(FemalePayGapsByOccupationalSeriesAndRacialEthnicGroup[[#This Row],[Other Female Employees]]/Y$318,"")</f>
        <v/>
      </c>
      <c r="Y196" s="8" t="s">
        <v>0</v>
      </c>
      <c r="Z196" s="6" t="s">
        <v>0</v>
      </c>
      <c r="AA19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97" spans="1:27" ht="15.6" x14ac:dyDescent="0.3">
      <c r="A197" s="46" t="s">
        <v>206</v>
      </c>
      <c r="B197" s="40">
        <v>202</v>
      </c>
      <c r="C197" s="41">
        <v>83350.836633662999</v>
      </c>
      <c r="D197" s="70">
        <f>IFERROR(FemalePayGapsByOccupationalSeriesAndRacialEthnicGroup[[#This Row],[White Female Employees]]/E$318,"")</f>
        <v>6.7908293136004975E-4</v>
      </c>
      <c r="E197" s="16">
        <v>310</v>
      </c>
      <c r="F197" s="17">
        <v>85054.625806451993</v>
      </c>
      <c r="G197" s="18">
        <f>IFERROR(FemalePayGapsByOccupationalSeriesAndRacialEthnicGroup[[#This Row],[White Female Avg Salary]]/FemalePayGapsByOccupationalSeriesAndRacialEthnicGroup[[#This Row],[White Male Average Salary]],"")</f>
        <v>1.0204411766168269</v>
      </c>
      <c r="H197" s="10" t="str">
        <f>IFERROR(FemalePayGapsByOccupationalSeriesAndRacialEthnicGroup[[#This Row],[AIAN Female Employees]]/I$318,"")</f>
        <v/>
      </c>
      <c r="I197" t="s">
        <v>0</v>
      </c>
      <c r="J197" s="6" t="s">
        <v>0</v>
      </c>
      <c r="K197" s="52" t="str">
        <f>IFERROR(FemalePayGapsByOccupationalSeriesAndRacialEthnicGroup[[#This Row],[AIAN Female Avg Salary]]/FemalePayGapsByOccupationalSeriesAndRacialEthnicGroup[[#This Row],[White Male Average Salary]],"")</f>
        <v/>
      </c>
      <c r="L197" s="10" t="str">
        <f>IFERROR(FemalePayGapsByOccupationalSeriesAndRacialEthnicGroup[[#This Row],[ANHPI Female Employees]]/M$318,"")</f>
        <v/>
      </c>
      <c r="M197" s="8" t="s">
        <v>0</v>
      </c>
      <c r="N197" s="6" t="s">
        <v>0</v>
      </c>
      <c r="O197" s="52" t="str">
        <f>IFERROR(FemalePayGapsByOccupationalSeriesAndRacialEthnicGroup[[#This Row],[ANHPI Female Avg Salary]]/FemalePayGapsByOccupationalSeriesAndRacialEthnicGroup[[#This Row],[White Male Average Salary]],"")</f>
        <v/>
      </c>
      <c r="P197" s="10" t="str">
        <f>IFERROR(FemalePayGapsByOccupationalSeriesAndRacialEthnicGroup[[#This Row],[Black Female Employees]]/Q$318,"")</f>
        <v/>
      </c>
      <c r="Q197" s="8" t="s">
        <v>0</v>
      </c>
      <c r="R197" s="6" t="s">
        <v>0</v>
      </c>
      <c r="S197" s="52" t="str">
        <f>IFERROR(FemalePayGapsByOccupationalSeriesAndRacialEthnicGroup[[#This Row],[Black Female Avg Salary]]/FemalePayGapsByOccupationalSeriesAndRacialEthnicGroup[[#This Row],[White Male Average Salary]],"")</f>
        <v/>
      </c>
      <c r="T197" s="10" t="str">
        <f>IFERROR(FemalePayGapsByOccupationalSeriesAndRacialEthnicGroup[[#This Row],[Hispanic Latino Female Employees]]/U$318,"")</f>
        <v/>
      </c>
      <c r="U197" s="8" t="s">
        <v>0</v>
      </c>
      <c r="V197" s="6" t="s">
        <v>0</v>
      </c>
      <c r="W19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197" s="10" t="str">
        <f>IFERROR(FemalePayGapsByOccupationalSeriesAndRacialEthnicGroup[[#This Row],[Other Female Employees]]/Y$318,"")</f>
        <v/>
      </c>
      <c r="Y197" s="8" t="s">
        <v>0</v>
      </c>
      <c r="Z197" s="6" t="s">
        <v>0</v>
      </c>
      <c r="AA19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198" spans="1:27" ht="15.6" x14ac:dyDescent="0.3">
      <c r="A198" s="45" t="s">
        <v>207</v>
      </c>
      <c r="B198" s="38">
        <v>1987</v>
      </c>
      <c r="C198" s="39">
        <v>109654.38852541499</v>
      </c>
      <c r="D198" s="69">
        <f>IFERROR(FemalePayGapsByOccupationalSeriesAndRacialEthnicGroup[[#This Row],[White Female Employees]]/E$318,"")</f>
        <v>5.0230231019632067E-3</v>
      </c>
      <c r="E198" s="67">
        <v>2293</v>
      </c>
      <c r="F198" s="64">
        <v>110073.76929786299</v>
      </c>
      <c r="G198" s="72">
        <f>IFERROR(FemalePayGapsByOccupationalSeriesAndRacialEthnicGroup[[#This Row],[White Female Avg Salary]]/FemalePayGapsByOccupationalSeriesAndRacialEthnicGroup[[#This Row],[White Male Average Salary]],"")</f>
        <v>1.0038245689761043</v>
      </c>
      <c r="H198" s="10" t="str">
        <f>IFERROR(FemalePayGapsByOccupationalSeriesAndRacialEthnicGroup[[#This Row],[AIAN Female Employees]]/I$318,"")</f>
        <v/>
      </c>
      <c r="I198" t="s">
        <v>0</v>
      </c>
      <c r="J198" s="6" t="s">
        <v>0</v>
      </c>
      <c r="K198" s="52" t="str">
        <f>IFERROR(FemalePayGapsByOccupationalSeriesAndRacialEthnicGroup[[#This Row],[AIAN Female Avg Salary]]/FemalePayGapsByOccupationalSeriesAndRacialEthnicGroup[[#This Row],[White Male Average Salary]],"")</f>
        <v/>
      </c>
      <c r="L198" s="10">
        <f>IFERROR(FemalePayGapsByOccupationalSeriesAndRacialEthnicGroup[[#This Row],[ANHPI Female Employees]]/M$318,"")</f>
        <v>2.1666276985425922E-3</v>
      </c>
      <c r="M198" s="8">
        <v>139</v>
      </c>
      <c r="N198" s="6">
        <v>110930.086330935</v>
      </c>
      <c r="O198" s="52">
        <f>IFERROR(FemalePayGapsByOccupationalSeriesAndRacialEthnicGroup[[#This Row],[ANHPI Female Avg Salary]]/FemalePayGapsByOccupationalSeriesAndRacialEthnicGroup[[#This Row],[White Male Average Salary]],"")</f>
        <v>1.0116338052920182</v>
      </c>
      <c r="P198" s="10">
        <f>IFERROR(FemalePayGapsByOccupationalSeriesAndRacialEthnicGroup[[#This Row],[Black Female Employees]]/Q$318,"")</f>
        <v>2.5425943967873014E-3</v>
      </c>
      <c r="Q198" s="8">
        <v>535</v>
      </c>
      <c r="R198" s="6">
        <v>112914.290262172</v>
      </c>
      <c r="S198" s="52">
        <f>IFERROR(FemalePayGapsByOccupationalSeriesAndRacialEthnicGroup[[#This Row],[Black Female Avg Salary]]/FemalePayGapsByOccupationalSeriesAndRacialEthnicGroup[[#This Row],[White Male Average Salary]],"")</f>
        <v>1.029728876158946</v>
      </c>
      <c r="T198" s="10">
        <f>IFERROR(FemalePayGapsByOccupationalSeriesAndRacialEthnicGroup[[#This Row],[Hispanic Latino Female Employees]]/U$318,"")</f>
        <v>3.7045107866637613E-3</v>
      </c>
      <c r="U198" s="8">
        <v>289</v>
      </c>
      <c r="V198" s="6">
        <v>107537.906574394</v>
      </c>
      <c r="W198" s="52">
        <f>IFERROR(FemalePayGapsByOccupationalSeriesAndRacialEthnicGroup[[#This Row],[Hispanic Latino Female Avg Salary]]/FemalePayGapsByOccupationalSeriesAndRacialEthnicGroup[[#This Row],[White Male Average Salary]],"")</f>
        <v>0.98069861152405724</v>
      </c>
      <c r="X198" s="10">
        <f>IFERROR(FemalePayGapsByOccupationalSeriesAndRacialEthnicGroup[[#This Row],[Other Female Employees]]/Y$318,"")</f>
        <v>6.2743768017636085E-3</v>
      </c>
      <c r="Y198" s="8">
        <v>111</v>
      </c>
      <c r="Z198" s="6">
        <v>103892.33333333299</v>
      </c>
      <c r="AA198" s="1">
        <f>IFERROR(FemalePayGapsByOccupationalSeriesAndRacialEthnicGroup[[#This Row],[Other Female Avg Salary]]/FemalePayGapsByOccupationalSeriesAndRacialEthnicGroup[[#This Row],[White Male Average Salary]],"")</f>
        <v>0.94745258015144096</v>
      </c>
    </row>
    <row r="199" spans="1:27" ht="15.6" x14ac:dyDescent="0.3">
      <c r="A199" s="46" t="s">
        <v>208</v>
      </c>
      <c r="B199" s="40">
        <v>209</v>
      </c>
      <c r="C199" s="41">
        <v>107248.73684210501</v>
      </c>
      <c r="D199" s="70">
        <f>IFERROR(FemalePayGapsByOccupationalSeriesAndRacialEthnicGroup[[#This Row],[White Female Employees]]/E$318,"")</f>
        <v>5.3450398468339404E-4</v>
      </c>
      <c r="E199" s="16">
        <v>244</v>
      </c>
      <c r="F199" s="17">
        <v>103744.82786885199</v>
      </c>
      <c r="G199" s="18">
        <f>IFERROR(FemalePayGapsByOccupationalSeriesAndRacialEthnicGroup[[#This Row],[White Female Avg Salary]]/FemalePayGapsByOccupationalSeriesAndRacialEthnicGroup[[#This Row],[White Male Average Salary]],"")</f>
        <v>0.96732913527539655</v>
      </c>
      <c r="H199" s="10" t="str">
        <f>IFERROR(FemalePayGapsByOccupationalSeriesAndRacialEthnicGroup[[#This Row],[AIAN Female Employees]]/I$318,"")</f>
        <v/>
      </c>
      <c r="I199" t="s">
        <v>0</v>
      </c>
      <c r="J199" s="6" t="s">
        <v>0</v>
      </c>
      <c r="K199" s="52" t="str">
        <f>IFERROR(FemalePayGapsByOccupationalSeriesAndRacialEthnicGroup[[#This Row],[AIAN Female Avg Salary]]/FemalePayGapsByOccupationalSeriesAndRacialEthnicGroup[[#This Row],[White Male Average Salary]],"")</f>
        <v/>
      </c>
      <c r="L199" s="10">
        <f>IFERROR(FemalePayGapsByOccupationalSeriesAndRacialEthnicGroup[[#This Row],[ANHPI Female Employees]]/M$318,"")</f>
        <v>1.4963759644610708E-3</v>
      </c>
      <c r="M199" s="8">
        <v>96</v>
      </c>
      <c r="N199" s="6">
        <v>101662.92708333299</v>
      </c>
      <c r="O199" s="52">
        <f>IFERROR(FemalePayGapsByOccupationalSeriesAndRacialEthnicGroup[[#This Row],[ANHPI Female Avg Salary]]/FemalePayGapsByOccupationalSeriesAndRacialEthnicGroup[[#This Row],[White Male Average Salary]],"")</f>
        <v>0.9479172443122047</v>
      </c>
      <c r="P199" s="10" t="str">
        <f>IFERROR(FemalePayGapsByOccupationalSeriesAndRacialEthnicGroup[[#This Row],[Black Female Employees]]/Q$318,"")</f>
        <v/>
      </c>
      <c r="Q199" s="8" t="s">
        <v>0</v>
      </c>
      <c r="R199" s="6" t="s">
        <v>0</v>
      </c>
      <c r="S199" s="52" t="str">
        <f>IFERROR(FemalePayGapsByOccupationalSeriesAndRacialEthnicGroup[[#This Row],[Black Female Avg Salary]]/FemalePayGapsByOccupationalSeriesAndRacialEthnicGroup[[#This Row],[White Male Average Salary]],"")</f>
        <v/>
      </c>
      <c r="T199" s="10">
        <f>IFERROR(FemalePayGapsByOccupationalSeriesAndRacialEthnicGroup[[#This Row],[Hispanic Latino Female Employees]]/U$318,"")</f>
        <v>2.5893120377373001E-3</v>
      </c>
      <c r="U199" s="8">
        <v>202</v>
      </c>
      <c r="V199" s="6">
        <v>97549.118811880995</v>
      </c>
      <c r="W199" s="52">
        <f>IFERROR(FemalePayGapsByOccupationalSeriesAndRacialEthnicGroup[[#This Row],[Hispanic Latino Female Avg Salary]]/FemalePayGapsByOccupationalSeriesAndRacialEthnicGroup[[#This Row],[White Male Average Salary]],"")</f>
        <v>0.90955960586739504</v>
      </c>
      <c r="X199" s="10" t="str">
        <f>IFERROR(FemalePayGapsByOccupationalSeriesAndRacialEthnicGroup[[#This Row],[Other Female Employees]]/Y$318,"")</f>
        <v/>
      </c>
      <c r="Y199" s="8" t="s">
        <v>0</v>
      </c>
      <c r="Z199" s="6" t="s">
        <v>0</v>
      </c>
      <c r="AA19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00" spans="1:27" ht="15.6" x14ac:dyDescent="0.3">
      <c r="A200" s="45" t="s">
        <v>209</v>
      </c>
      <c r="B200" s="38">
        <v>138</v>
      </c>
      <c r="C200" s="39">
        <v>86805.449275362</v>
      </c>
      <c r="D200" s="69">
        <f>IFERROR(FemalePayGapsByOccupationalSeriesAndRacialEthnicGroup[[#This Row],[White Female Employees]]/E$318,"")</f>
        <v>1.5991307738478591E-4</v>
      </c>
      <c r="E200" s="67">
        <v>73</v>
      </c>
      <c r="F200" s="64">
        <v>85281.630136986001</v>
      </c>
      <c r="G200" s="72">
        <f>IFERROR(FemalePayGapsByOccupationalSeriesAndRacialEthnicGroup[[#This Row],[White Female Avg Salary]]/FemalePayGapsByOccupationalSeriesAndRacialEthnicGroup[[#This Row],[White Male Average Salary]],"")</f>
        <v>0.98244558203319499</v>
      </c>
      <c r="H200" s="10" t="str">
        <f>IFERROR(FemalePayGapsByOccupationalSeriesAndRacialEthnicGroup[[#This Row],[AIAN Female Employees]]/I$318,"")</f>
        <v/>
      </c>
      <c r="I200" t="s">
        <v>0</v>
      </c>
      <c r="J200" s="6" t="s">
        <v>0</v>
      </c>
      <c r="K200" s="52" t="str">
        <f>IFERROR(FemalePayGapsByOccupationalSeriesAndRacialEthnicGroup[[#This Row],[AIAN Female Avg Salary]]/FemalePayGapsByOccupationalSeriesAndRacialEthnicGroup[[#This Row],[White Male Average Salary]],"")</f>
        <v/>
      </c>
      <c r="L200" s="10" t="str">
        <f>IFERROR(FemalePayGapsByOccupationalSeriesAndRacialEthnicGroup[[#This Row],[ANHPI Female Employees]]/M$318,"")</f>
        <v/>
      </c>
      <c r="M200" s="8" t="s">
        <v>0</v>
      </c>
      <c r="N200" s="6" t="s">
        <v>0</v>
      </c>
      <c r="O200" s="52" t="str">
        <f>IFERROR(FemalePayGapsByOccupationalSeriesAndRacialEthnicGroup[[#This Row],[ANHPI Female Avg Salary]]/FemalePayGapsByOccupationalSeriesAndRacialEthnicGroup[[#This Row],[White Male Average Salary]],"")</f>
        <v/>
      </c>
      <c r="P200" s="10" t="str">
        <f>IFERROR(FemalePayGapsByOccupationalSeriesAndRacialEthnicGroup[[#This Row],[Black Female Employees]]/Q$318,"")</f>
        <v/>
      </c>
      <c r="Q200" s="8" t="s">
        <v>0</v>
      </c>
      <c r="R200" s="6" t="s">
        <v>0</v>
      </c>
      <c r="S200" s="52" t="str">
        <f>IFERROR(FemalePayGapsByOccupationalSeriesAndRacialEthnicGroup[[#This Row],[Black Female Avg Salary]]/FemalePayGapsByOccupationalSeriesAndRacialEthnicGroup[[#This Row],[White Male Average Salary]],"")</f>
        <v/>
      </c>
      <c r="T200" s="10" t="str">
        <f>IFERROR(FemalePayGapsByOccupationalSeriesAndRacialEthnicGroup[[#This Row],[Hispanic Latino Female Employees]]/U$318,"")</f>
        <v/>
      </c>
      <c r="U200" s="8" t="s">
        <v>0</v>
      </c>
      <c r="V200" s="47" t="s">
        <v>0</v>
      </c>
      <c r="W20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00" s="10" t="str">
        <f>IFERROR(FemalePayGapsByOccupationalSeriesAndRacialEthnicGroup[[#This Row],[Other Female Employees]]/Y$318,"")</f>
        <v/>
      </c>
      <c r="Y200" s="8" t="s">
        <v>0</v>
      </c>
      <c r="Z200" s="6" t="s">
        <v>0</v>
      </c>
      <c r="AA20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01" spans="1:27" ht="15.6" x14ac:dyDescent="0.3">
      <c r="A201" s="46" t="s">
        <v>210</v>
      </c>
      <c r="B201" s="40">
        <v>495</v>
      </c>
      <c r="C201" s="41">
        <v>106047.36565656601</v>
      </c>
      <c r="D201" s="70">
        <f>IFERROR(FemalePayGapsByOccupationalSeriesAndRacialEthnicGroup[[#This Row],[White Female Employees]]/E$318,"")</f>
        <v>1.6648484768827027E-4</v>
      </c>
      <c r="E201" s="16">
        <v>76</v>
      </c>
      <c r="F201" s="17">
        <v>106828.157894737</v>
      </c>
      <c r="G201" s="18">
        <f>IFERROR(FemalePayGapsByOccupationalSeriesAndRacialEthnicGroup[[#This Row],[White Female Avg Salary]]/FemalePayGapsByOccupationalSeriesAndRacialEthnicGroup[[#This Row],[White Male Average Salary]],"")</f>
        <v>1.0073626745307336</v>
      </c>
      <c r="H201" s="10" t="str">
        <f>IFERROR(FemalePayGapsByOccupationalSeriesAndRacialEthnicGroup[[#This Row],[AIAN Female Employees]]/I$318,"")</f>
        <v/>
      </c>
      <c r="I201" t="s">
        <v>0</v>
      </c>
      <c r="J201" s="6" t="s">
        <v>0</v>
      </c>
      <c r="K201" s="52" t="str">
        <f>IFERROR(FemalePayGapsByOccupationalSeriesAndRacialEthnicGroup[[#This Row],[AIAN Female Avg Salary]]/FemalePayGapsByOccupationalSeriesAndRacialEthnicGroup[[#This Row],[White Male Average Salary]],"")</f>
        <v/>
      </c>
      <c r="L201" s="10" t="str">
        <f>IFERROR(FemalePayGapsByOccupationalSeriesAndRacialEthnicGroup[[#This Row],[ANHPI Female Employees]]/M$318,"")</f>
        <v/>
      </c>
      <c r="M201" s="8" t="s">
        <v>0</v>
      </c>
      <c r="N201" s="6" t="s">
        <v>0</v>
      </c>
      <c r="O201" s="52" t="str">
        <f>IFERROR(FemalePayGapsByOccupationalSeriesAndRacialEthnicGroup[[#This Row],[ANHPI Female Avg Salary]]/FemalePayGapsByOccupationalSeriesAndRacialEthnicGroup[[#This Row],[White Male Average Salary]],"")</f>
        <v/>
      </c>
      <c r="P201" s="10">
        <f>IFERROR(FemalePayGapsByOccupationalSeriesAndRacialEthnicGroup[[#This Row],[Black Female Employees]]/Q$318,"")</f>
        <v>1.7109046408288382E-4</v>
      </c>
      <c r="Q201" s="8">
        <v>36</v>
      </c>
      <c r="R201" s="6">
        <v>110379.16666666701</v>
      </c>
      <c r="S201" s="52">
        <f>IFERROR(FemalePayGapsByOccupationalSeriesAndRacialEthnicGroup[[#This Row],[Black Female Avg Salary]]/FemalePayGapsByOccupationalSeriesAndRacialEthnicGroup[[#This Row],[White Male Average Salary]],"")</f>
        <v>1.0408477945989674</v>
      </c>
      <c r="T201" s="10" t="str">
        <f>IFERROR(FemalePayGapsByOccupationalSeriesAndRacialEthnicGroup[[#This Row],[Hispanic Latino Female Employees]]/U$318,"")</f>
        <v/>
      </c>
      <c r="U201" s="8" t="s">
        <v>0</v>
      </c>
      <c r="V201" s="47" t="s">
        <v>0</v>
      </c>
      <c r="W20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01" s="10" t="str">
        <f>IFERROR(FemalePayGapsByOccupationalSeriesAndRacialEthnicGroup[[#This Row],[Other Female Employees]]/Y$318,"")</f>
        <v/>
      </c>
      <c r="Y201" s="8" t="s">
        <v>0</v>
      </c>
      <c r="Z201" s="6" t="s">
        <v>0</v>
      </c>
      <c r="AA20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02" spans="1:27" ht="15.6" x14ac:dyDescent="0.3">
      <c r="A202" s="45" t="s">
        <v>211</v>
      </c>
      <c r="B202" s="38">
        <v>313</v>
      </c>
      <c r="C202" s="39">
        <v>112081.10543131</v>
      </c>
      <c r="D202" s="69">
        <f>IFERROR(FemalePayGapsByOccupationalSeriesAndRacialEthnicGroup[[#This Row],[White Female Employees]]/E$318,"")</f>
        <v>1.1522503932109231E-3</v>
      </c>
      <c r="E202" s="67">
        <v>526</v>
      </c>
      <c r="F202" s="64">
        <v>110733.34410646401</v>
      </c>
      <c r="G202" s="72">
        <f>IFERROR(FemalePayGapsByOccupationalSeriesAndRacialEthnicGroup[[#This Row],[White Female Avg Salary]]/FemalePayGapsByOccupationalSeriesAndRacialEthnicGroup[[#This Row],[White Male Average Salary]],"")</f>
        <v>0.98797512462373072</v>
      </c>
      <c r="H202" s="10" t="str">
        <f>IFERROR(FemalePayGapsByOccupationalSeriesAndRacialEthnicGroup[[#This Row],[AIAN Female Employees]]/I$318,"")</f>
        <v/>
      </c>
      <c r="I202" t="s">
        <v>0</v>
      </c>
      <c r="J202" s="6" t="s">
        <v>0</v>
      </c>
      <c r="K202" s="52" t="str">
        <f>IFERROR(FemalePayGapsByOccupationalSeriesAndRacialEthnicGroup[[#This Row],[AIAN Female Avg Salary]]/FemalePayGapsByOccupationalSeriesAndRacialEthnicGroup[[#This Row],[White Male Average Salary]],"")</f>
        <v/>
      </c>
      <c r="L202" s="10" t="str">
        <f>IFERROR(FemalePayGapsByOccupationalSeriesAndRacialEthnicGroup[[#This Row],[ANHPI Female Employees]]/M$318,"")</f>
        <v/>
      </c>
      <c r="M202" s="8" t="s">
        <v>0</v>
      </c>
      <c r="N202" s="6" t="s">
        <v>0</v>
      </c>
      <c r="O202" s="52" t="str">
        <f>IFERROR(FemalePayGapsByOccupationalSeriesAndRacialEthnicGroup[[#This Row],[ANHPI Female Avg Salary]]/FemalePayGapsByOccupationalSeriesAndRacialEthnicGroup[[#This Row],[White Male Average Salary]],"")</f>
        <v/>
      </c>
      <c r="P202" s="10">
        <f>IFERROR(FemalePayGapsByOccupationalSeriesAndRacialEthnicGroup[[#This Row],[Black Female Employees]]/Q$318,"")</f>
        <v>5.1802390513984269E-4</v>
      </c>
      <c r="Q202" s="8">
        <v>109</v>
      </c>
      <c r="R202" s="6">
        <v>112332.697247706</v>
      </c>
      <c r="S202" s="52">
        <f>IFERROR(FemalePayGapsByOccupationalSeriesAndRacialEthnicGroup[[#This Row],[Black Female Avg Salary]]/FemalePayGapsByOccupationalSeriesAndRacialEthnicGroup[[#This Row],[White Male Average Salary]],"")</f>
        <v>1.0022447299696753</v>
      </c>
      <c r="T202" s="10" t="str">
        <f>IFERROR(FemalePayGapsByOccupationalSeriesAndRacialEthnicGroup[[#This Row],[Hispanic Latino Female Employees]]/U$318,"")</f>
        <v/>
      </c>
      <c r="U202" s="8" t="s">
        <v>0</v>
      </c>
      <c r="V202" s="47" t="s">
        <v>0</v>
      </c>
      <c r="W20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02" s="10" t="str">
        <f>IFERROR(FemalePayGapsByOccupationalSeriesAndRacialEthnicGroup[[#This Row],[Other Female Employees]]/Y$318,"")</f>
        <v/>
      </c>
      <c r="Y202" s="8" t="s">
        <v>0</v>
      </c>
      <c r="Z202" s="6" t="s">
        <v>0</v>
      </c>
      <c r="AA20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03" spans="1:27" ht="15.6" x14ac:dyDescent="0.3">
      <c r="A203" s="46" t="s">
        <v>212</v>
      </c>
      <c r="B203" s="40">
        <v>344</v>
      </c>
      <c r="C203" s="41">
        <v>101023.57558139499</v>
      </c>
      <c r="D203" s="70">
        <f>IFERROR(FemalePayGapsByOccupationalSeriesAndRacialEthnicGroup[[#This Row],[White Female Employees]]/E$318,"")</f>
        <v>9.7262200491568421E-4</v>
      </c>
      <c r="E203" s="16">
        <v>444</v>
      </c>
      <c r="F203" s="17">
        <v>101270.885135135</v>
      </c>
      <c r="G203" s="18">
        <f>IFERROR(FemalePayGapsByOccupationalSeriesAndRacialEthnicGroup[[#This Row],[White Female Avg Salary]]/FemalePayGapsByOccupationalSeriesAndRacialEthnicGroup[[#This Row],[White Male Average Salary]],"")</f>
        <v>1.0024480380180243</v>
      </c>
      <c r="H203" s="10" t="str">
        <f>IFERROR(FemalePayGapsByOccupationalSeriesAndRacialEthnicGroup[[#This Row],[AIAN Female Employees]]/I$318,"")</f>
        <v/>
      </c>
      <c r="I203" t="s">
        <v>0</v>
      </c>
      <c r="J203" s="6" t="s">
        <v>0</v>
      </c>
      <c r="K203" s="52" t="str">
        <f>IFERROR(FemalePayGapsByOccupationalSeriesAndRacialEthnicGroup[[#This Row],[AIAN Female Avg Salary]]/FemalePayGapsByOccupationalSeriesAndRacialEthnicGroup[[#This Row],[White Male Average Salary]],"")</f>
        <v/>
      </c>
      <c r="L203" s="10" t="str">
        <f>IFERROR(FemalePayGapsByOccupationalSeriesAndRacialEthnicGroup[[#This Row],[ANHPI Female Employees]]/M$318,"")</f>
        <v/>
      </c>
      <c r="M203" s="8" t="s">
        <v>0</v>
      </c>
      <c r="N203" s="6" t="s">
        <v>0</v>
      </c>
      <c r="O203" s="52" t="str">
        <f>IFERROR(FemalePayGapsByOccupationalSeriesAndRacialEthnicGroup[[#This Row],[ANHPI Female Avg Salary]]/FemalePayGapsByOccupationalSeriesAndRacialEthnicGroup[[#This Row],[White Male Average Salary]],"")</f>
        <v/>
      </c>
      <c r="P203" s="10">
        <f>IFERROR(FemalePayGapsByOccupationalSeriesAndRacialEthnicGroup[[#This Row],[Black Female Employees]]/Q$318,"")</f>
        <v>3.4218092816576764E-4</v>
      </c>
      <c r="Q203" s="8">
        <v>72</v>
      </c>
      <c r="R203" s="6">
        <v>100668.16666666701</v>
      </c>
      <c r="S203" s="52">
        <f>IFERROR(FemalePayGapsByOccupationalSeriesAndRacialEthnicGroup[[#This Row],[Black Female Avg Salary]]/FemalePayGapsByOccupationalSeriesAndRacialEthnicGroup[[#This Row],[White Male Average Salary]],"")</f>
        <v>0.99648192104978872</v>
      </c>
      <c r="T203" s="10" t="str">
        <f>IFERROR(FemalePayGapsByOccupationalSeriesAndRacialEthnicGroup[[#This Row],[Hispanic Latino Female Employees]]/U$318,"")</f>
        <v/>
      </c>
      <c r="U203" s="8" t="s">
        <v>0</v>
      </c>
      <c r="V203" s="47" t="s">
        <v>0</v>
      </c>
      <c r="W20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03" s="10" t="str">
        <f>IFERROR(FemalePayGapsByOccupationalSeriesAndRacialEthnicGroup[[#This Row],[Other Female Employees]]/Y$318,"")</f>
        <v/>
      </c>
      <c r="Y203" s="8" t="s">
        <v>0</v>
      </c>
      <c r="Z203" s="6" t="s">
        <v>0</v>
      </c>
      <c r="AA20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04" spans="1:27" ht="15.6" x14ac:dyDescent="0.3">
      <c r="A204" s="45" t="s">
        <v>213</v>
      </c>
      <c r="B204" s="38">
        <v>598</v>
      </c>
      <c r="C204" s="39">
        <v>93544.672240803004</v>
      </c>
      <c r="D204" s="69">
        <f>IFERROR(FemalePayGapsByOccupationalSeriesAndRacialEthnicGroup[[#This Row],[White Female Employees]]/E$318,"")</f>
        <v>8.8718899097038758E-4</v>
      </c>
      <c r="E204" s="67">
        <v>405</v>
      </c>
      <c r="F204" s="64">
        <v>95743.997530863999</v>
      </c>
      <c r="G204" s="72">
        <f>IFERROR(FemalePayGapsByOccupationalSeriesAndRacialEthnicGroup[[#This Row],[White Female Avg Salary]]/FemalePayGapsByOccupationalSeriesAndRacialEthnicGroup[[#This Row],[White Male Average Salary]],"")</f>
        <v>1.023510962595491</v>
      </c>
      <c r="H204" s="10" t="str">
        <f>IFERROR(FemalePayGapsByOccupationalSeriesAndRacialEthnicGroup[[#This Row],[AIAN Female Employees]]/I$318,"")</f>
        <v/>
      </c>
      <c r="I204" t="s">
        <v>0</v>
      </c>
      <c r="J204" s="6" t="s">
        <v>0</v>
      </c>
      <c r="K204" s="52" t="str">
        <f>IFERROR(FemalePayGapsByOccupationalSeriesAndRacialEthnicGroup[[#This Row],[AIAN Female Avg Salary]]/FemalePayGapsByOccupationalSeriesAndRacialEthnicGroup[[#This Row],[White Male Average Salary]],"")</f>
        <v/>
      </c>
      <c r="L204" s="10" t="str">
        <f>IFERROR(FemalePayGapsByOccupationalSeriesAndRacialEthnicGroup[[#This Row],[ANHPI Female Employees]]/M$318,"")</f>
        <v/>
      </c>
      <c r="M204" s="8" t="s">
        <v>0</v>
      </c>
      <c r="N204" s="6" t="s">
        <v>0</v>
      </c>
      <c r="O204" s="52" t="str">
        <f>IFERROR(FemalePayGapsByOccupationalSeriesAndRacialEthnicGroup[[#This Row],[ANHPI Female Avg Salary]]/FemalePayGapsByOccupationalSeriesAndRacialEthnicGroup[[#This Row],[White Male Average Salary]],"")</f>
        <v/>
      </c>
      <c r="P204" s="10">
        <f>IFERROR(FemalePayGapsByOccupationalSeriesAndRacialEthnicGroup[[#This Row],[Black Female Employees]]/Q$318,"")</f>
        <v>4.5624123755435685E-4</v>
      </c>
      <c r="Q204" s="8">
        <v>96</v>
      </c>
      <c r="R204" s="6">
        <v>105430.884210526</v>
      </c>
      <c r="S204" s="52">
        <f>IFERROR(FemalePayGapsByOccupationalSeriesAndRacialEthnicGroup[[#This Row],[Black Female Avg Salary]]/FemalePayGapsByOccupationalSeriesAndRacialEthnicGroup[[#This Row],[White Male Average Salary]],"")</f>
        <v>1.1270645530632195</v>
      </c>
      <c r="T204" s="10">
        <f>IFERROR(FemalePayGapsByOccupationalSeriesAndRacialEthnicGroup[[#This Row],[Hispanic Latino Female Employees]]/U$318,"")</f>
        <v>6.9219232691987236E-4</v>
      </c>
      <c r="U204" s="8">
        <v>54</v>
      </c>
      <c r="V204" s="6">
        <v>87083.462962963007</v>
      </c>
      <c r="W204" s="52">
        <f>IFERROR(FemalePayGapsByOccupationalSeriesAndRacialEthnicGroup[[#This Row],[Hispanic Latino Female Avg Salary]]/FemalePayGapsByOccupationalSeriesAndRacialEthnicGroup[[#This Row],[White Male Average Salary]],"")</f>
        <v>0.93092915798339071</v>
      </c>
      <c r="X204" s="10" t="str">
        <f>IFERROR(FemalePayGapsByOccupationalSeriesAndRacialEthnicGroup[[#This Row],[Other Female Employees]]/Y$318,"")</f>
        <v/>
      </c>
      <c r="Y204" s="8" t="s">
        <v>0</v>
      </c>
      <c r="Z204" s="6" t="s">
        <v>0</v>
      </c>
      <c r="AA20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05" spans="1:27" ht="15.6" x14ac:dyDescent="0.3">
      <c r="A205" s="46" t="s">
        <v>214</v>
      </c>
      <c r="B205" s="40">
        <v>9321</v>
      </c>
      <c r="C205" s="41">
        <v>112874.90696426699</v>
      </c>
      <c r="D205" s="70">
        <f>IFERROR(FemalePayGapsByOccupationalSeriesAndRacialEthnicGroup[[#This Row],[White Female Employees]]/E$318,"")</f>
        <v>1.5728436926339216E-2</v>
      </c>
      <c r="E205" s="16">
        <v>7180</v>
      </c>
      <c r="F205" s="17">
        <v>99111.600808136995</v>
      </c>
      <c r="G205" s="18">
        <f>IFERROR(FemalePayGapsByOccupationalSeriesAndRacialEthnicGroup[[#This Row],[White Female Avg Salary]]/FemalePayGapsByOccupationalSeriesAndRacialEthnicGroup[[#This Row],[White Male Average Salary]],"")</f>
        <v>0.87806584717286129</v>
      </c>
      <c r="H205" s="10">
        <f>IFERROR(FemalePayGapsByOccupationalSeriesAndRacialEthnicGroup[[#This Row],[AIAN Female Employees]]/I$318,"")</f>
        <v>1.6048632218844984E-2</v>
      </c>
      <c r="I205">
        <v>264</v>
      </c>
      <c r="J205" s="6">
        <v>82620.75</v>
      </c>
      <c r="K205" s="52">
        <f>IFERROR(FemalePayGapsByOccupationalSeriesAndRacialEthnicGroup[[#This Row],[AIAN Female Avg Salary]]/FemalePayGapsByOccupationalSeriesAndRacialEthnicGroup[[#This Row],[White Male Average Salary]],"")</f>
        <v>0.73196738072311673</v>
      </c>
      <c r="L205" s="10">
        <f>IFERROR(FemalePayGapsByOccupationalSeriesAndRacialEthnicGroup[[#This Row],[ANHPI Female Employees]]/M$318,"")</f>
        <v>1.2267165458654821E-2</v>
      </c>
      <c r="M205" s="8">
        <v>787</v>
      </c>
      <c r="N205" s="6">
        <v>93576.728081320995</v>
      </c>
      <c r="O205" s="52">
        <f>IFERROR(FemalePayGapsByOccupationalSeriesAndRacialEthnicGroup[[#This Row],[ANHPI Female Avg Salary]]/FemalePayGapsByOccupationalSeriesAndRacialEthnicGroup[[#This Row],[White Male Average Salary]],"")</f>
        <v>0.82903038946419461</v>
      </c>
      <c r="P205" s="10">
        <f>IFERROR(FemalePayGapsByOccupationalSeriesAndRacialEthnicGroup[[#This Row],[Black Female Employees]]/Q$318,"")</f>
        <v>1.5578737257324811E-2</v>
      </c>
      <c r="Q205" s="8">
        <v>3278</v>
      </c>
      <c r="R205" s="6">
        <v>102628.84829059801</v>
      </c>
      <c r="S205" s="52">
        <f>IFERROR(FemalePayGapsByOccupationalSeriesAndRacialEthnicGroup[[#This Row],[Black Female Avg Salary]]/FemalePayGapsByOccupationalSeriesAndRacialEthnicGroup[[#This Row],[White Male Average Salary]],"")</f>
        <v>0.90922642641103035</v>
      </c>
      <c r="T205" s="10">
        <f>IFERROR(FemalePayGapsByOccupationalSeriesAndRacialEthnicGroup[[#This Row],[Hispanic Latino Female Employees]]/U$318,"")</f>
        <v>1.2895286682988732E-2</v>
      </c>
      <c r="U205" s="8">
        <v>1006</v>
      </c>
      <c r="V205" s="6">
        <v>92090.782306163004</v>
      </c>
      <c r="W205" s="52">
        <f>IFERROR(FemalePayGapsByOccupationalSeriesAndRacialEthnicGroup[[#This Row],[Hispanic Latino Female Avg Salary]]/FemalePayGapsByOccupationalSeriesAndRacialEthnicGroup[[#This Row],[White Male Average Salary]],"")</f>
        <v>0.81586585347367191</v>
      </c>
      <c r="X205" s="10">
        <f>IFERROR(FemalePayGapsByOccupationalSeriesAndRacialEthnicGroup[[#This Row],[Other Female Employees]]/Y$318,"")</f>
        <v>1.763608614549771E-2</v>
      </c>
      <c r="Y205" s="8">
        <v>312</v>
      </c>
      <c r="Z205" s="6">
        <v>94491.102564102999</v>
      </c>
      <c r="AA205" s="1">
        <f>IFERROR(FemalePayGapsByOccupationalSeriesAndRacialEthnicGroup[[#This Row],[Other Female Avg Salary]]/FemalePayGapsByOccupationalSeriesAndRacialEthnicGroup[[#This Row],[White Male Average Salary]],"")</f>
        <v>0.8371311667527328</v>
      </c>
    </row>
    <row r="206" spans="1:27" ht="15.6" x14ac:dyDescent="0.3">
      <c r="A206" s="45" t="s">
        <v>215</v>
      </c>
      <c r="B206" s="38">
        <v>12350</v>
      </c>
      <c r="C206" s="39">
        <v>106401.801814206</v>
      </c>
      <c r="D206" s="69">
        <f>IFERROR(FemalePayGapsByOccupationalSeriesAndRacialEthnicGroup[[#This Row],[White Female Employees]]/E$318,"")</f>
        <v>2.6508330814154716E-2</v>
      </c>
      <c r="E206" s="67">
        <v>12101</v>
      </c>
      <c r="F206" s="64">
        <v>103995.991899488</v>
      </c>
      <c r="G206" s="72">
        <f>IFERROR(FemalePayGapsByOccupationalSeriesAndRacialEthnicGroup[[#This Row],[White Female Avg Salary]]/FemalePayGapsByOccupationalSeriesAndRacialEthnicGroup[[#This Row],[White Male Average Salary]],"")</f>
        <v>0.97738938745681281</v>
      </c>
      <c r="H206" s="10">
        <f>IFERROR(FemalePayGapsByOccupationalSeriesAndRacialEthnicGroup[[#This Row],[AIAN Female Employees]]/I$318,"")</f>
        <v>1.2948328267477204E-2</v>
      </c>
      <c r="I206">
        <v>213</v>
      </c>
      <c r="J206" s="6">
        <v>95186.433962263996</v>
      </c>
      <c r="K206" s="52">
        <f>IFERROR(FemalePayGapsByOccupationalSeriesAndRacialEthnicGroup[[#This Row],[AIAN Female Avg Salary]]/FemalePayGapsByOccupationalSeriesAndRacialEthnicGroup[[#This Row],[White Male Average Salary]],"")</f>
        <v>0.89459419238477023</v>
      </c>
      <c r="L206" s="10">
        <f>IFERROR(FemalePayGapsByOccupationalSeriesAndRacialEthnicGroup[[#This Row],[ANHPI Female Employees]]/M$318,"")</f>
        <v>1.9936092276517808E-2</v>
      </c>
      <c r="M206" s="8">
        <v>1279</v>
      </c>
      <c r="N206" s="6">
        <v>104134.671361502</v>
      </c>
      <c r="O206" s="52">
        <f>IFERROR(FemalePayGapsByOccupationalSeriesAndRacialEthnicGroup[[#This Row],[ANHPI Female Avg Salary]]/FemalePayGapsByOccupationalSeriesAndRacialEthnicGroup[[#This Row],[White Male Average Salary]],"")</f>
        <v>0.97869274378771554</v>
      </c>
      <c r="P206" s="10">
        <f>IFERROR(FemalePayGapsByOccupationalSeriesAndRacialEthnicGroup[[#This Row],[Black Female Employees]]/Q$318,"")</f>
        <v>2.9213696742152413E-2</v>
      </c>
      <c r="Q206" s="8">
        <v>6147</v>
      </c>
      <c r="R206" s="6">
        <v>107823.582329971</v>
      </c>
      <c r="S206" s="52">
        <f>IFERROR(FemalePayGapsByOccupationalSeriesAndRacialEthnicGroup[[#This Row],[Black Female Avg Salary]]/FemalePayGapsByOccupationalSeriesAndRacialEthnicGroup[[#This Row],[White Male Average Salary]],"")</f>
        <v>1.0133623725493639</v>
      </c>
      <c r="T206" s="10">
        <f>IFERROR(FemalePayGapsByOccupationalSeriesAndRacialEthnicGroup[[#This Row],[Hispanic Latino Female Employees]]/U$318,"")</f>
        <v>2.0227397997769604E-2</v>
      </c>
      <c r="U206" s="8">
        <v>1578</v>
      </c>
      <c r="V206" s="6">
        <v>102488.82181357</v>
      </c>
      <c r="W206" s="52">
        <f>IFERROR(FemalePayGapsByOccupationalSeriesAndRacialEthnicGroup[[#This Row],[Hispanic Latino Female Avg Salary]]/FemalePayGapsByOccupationalSeriesAndRacialEthnicGroup[[#This Row],[White Male Average Salary]],"")</f>
        <v>0.96322449494352858</v>
      </c>
      <c r="X206" s="10">
        <f>IFERROR(FemalePayGapsByOccupationalSeriesAndRacialEthnicGroup[[#This Row],[Other Female Employees]]/Y$318,"")</f>
        <v>3.8324571816177717E-2</v>
      </c>
      <c r="Y206" s="8">
        <v>678</v>
      </c>
      <c r="Z206" s="6">
        <v>100807.49410029501</v>
      </c>
      <c r="AA206" s="1">
        <f>IFERROR(FemalePayGapsByOccupationalSeriesAndRacialEthnicGroup[[#This Row],[Other Female Avg Salary]]/FemalePayGapsByOccupationalSeriesAndRacialEthnicGroup[[#This Row],[White Male Average Salary]],"")</f>
        <v>0.94742281034225795</v>
      </c>
    </row>
    <row r="207" spans="1:27" ht="15.6" x14ac:dyDescent="0.3">
      <c r="A207" s="46" t="s">
        <v>216</v>
      </c>
      <c r="B207" s="40">
        <v>154</v>
      </c>
      <c r="C207" s="41">
        <v>97380.090909090999</v>
      </c>
      <c r="D207" s="70">
        <f>IFERROR(FemalePayGapsByOccupationalSeriesAndRacialEthnicGroup[[#This Row],[White Female Employees]]/E$318,"")</f>
        <v>1.6210366748594738E-4</v>
      </c>
      <c r="E207" s="16">
        <v>74</v>
      </c>
      <c r="F207" s="17">
        <v>96098.432432432004</v>
      </c>
      <c r="G207" s="18">
        <f>IFERROR(FemalePayGapsByOccupationalSeriesAndRacialEthnicGroup[[#This Row],[White Female Avg Salary]]/FemalePayGapsByOccupationalSeriesAndRacialEthnicGroup[[#This Row],[White Male Average Salary]],"")</f>
        <v>0.98683859847845612</v>
      </c>
      <c r="H207" s="10" t="str">
        <f>IFERROR(FemalePayGapsByOccupationalSeriesAndRacialEthnicGroup[[#This Row],[AIAN Female Employees]]/I$318,"")</f>
        <v/>
      </c>
      <c r="I207" t="s">
        <v>0</v>
      </c>
      <c r="J207" s="6" t="s">
        <v>0</v>
      </c>
      <c r="K207" s="52" t="str">
        <f>IFERROR(FemalePayGapsByOccupationalSeriesAndRacialEthnicGroup[[#This Row],[AIAN Female Avg Salary]]/FemalePayGapsByOccupationalSeriesAndRacialEthnicGroup[[#This Row],[White Male Average Salary]],"")</f>
        <v/>
      </c>
      <c r="L207" s="10" t="str">
        <f>IFERROR(FemalePayGapsByOccupationalSeriesAndRacialEthnicGroup[[#This Row],[ANHPI Female Employees]]/M$318,"")</f>
        <v/>
      </c>
      <c r="M207" s="8" t="s">
        <v>0</v>
      </c>
      <c r="N207" s="6" t="s">
        <v>0</v>
      </c>
      <c r="O207" s="52" t="str">
        <f>IFERROR(FemalePayGapsByOccupationalSeriesAndRacialEthnicGroup[[#This Row],[ANHPI Female Avg Salary]]/FemalePayGapsByOccupationalSeriesAndRacialEthnicGroup[[#This Row],[White Male Average Salary]],"")</f>
        <v/>
      </c>
      <c r="P207" s="10" t="str">
        <f>IFERROR(FemalePayGapsByOccupationalSeriesAndRacialEthnicGroup[[#This Row],[Black Female Employees]]/Q$318,"")</f>
        <v/>
      </c>
      <c r="Q207" s="8" t="s">
        <v>0</v>
      </c>
      <c r="R207" s="6" t="s">
        <v>0</v>
      </c>
      <c r="S207" s="52" t="str">
        <f>IFERROR(FemalePayGapsByOccupationalSeriesAndRacialEthnicGroup[[#This Row],[Black Female Avg Salary]]/FemalePayGapsByOccupationalSeriesAndRacialEthnicGroup[[#This Row],[White Male Average Salary]],"")</f>
        <v/>
      </c>
      <c r="T207" s="10" t="str">
        <f>IFERROR(FemalePayGapsByOccupationalSeriesAndRacialEthnicGroup[[#This Row],[Hispanic Latino Female Employees]]/U$318,"")</f>
        <v/>
      </c>
      <c r="U207" s="8" t="s">
        <v>0</v>
      </c>
      <c r="V207" s="6" t="s">
        <v>0</v>
      </c>
      <c r="W20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07" s="10" t="str">
        <f>IFERROR(FemalePayGapsByOccupationalSeriesAndRacialEthnicGroup[[#This Row],[Other Female Employees]]/Y$318,"")</f>
        <v/>
      </c>
      <c r="Y207" s="8" t="s">
        <v>0</v>
      </c>
      <c r="Z207" s="6" t="s">
        <v>0</v>
      </c>
      <c r="AA20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08" spans="1:27" ht="15.6" x14ac:dyDescent="0.3">
      <c r="A208" s="45" t="s">
        <v>217</v>
      </c>
      <c r="B208" s="38">
        <v>257</v>
      </c>
      <c r="C208" s="39">
        <v>88209.727626459004</v>
      </c>
      <c r="D208" s="69">
        <f>IFERROR(FemalePayGapsByOccupationalSeriesAndRacialEthnicGroup[[#This Row],[White Female Employees]]/E$318,"")</f>
        <v>1.7743779819407753E-4</v>
      </c>
      <c r="E208" s="67">
        <v>81</v>
      </c>
      <c r="F208" s="64">
        <v>86594.259259258994</v>
      </c>
      <c r="G208" s="72">
        <f>IFERROR(FemalePayGapsByOccupationalSeriesAndRacialEthnicGroup[[#This Row],[White Female Avg Salary]]/FemalePayGapsByOccupationalSeriesAndRacialEthnicGroup[[#This Row],[White Male Average Salary]],"")</f>
        <v>0.98168605197330372</v>
      </c>
      <c r="H208" s="10" t="str">
        <f>IFERROR(FemalePayGapsByOccupationalSeriesAndRacialEthnicGroup[[#This Row],[AIAN Female Employees]]/I$318,"")</f>
        <v/>
      </c>
      <c r="I208" t="s">
        <v>0</v>
      </c>
      <c r="J208" s="6" t="s">
        <v>0</v>
      </c>
      <c r="K208" s="52" t="str">
        <f>IFERROR(FemalePayGapsByOccupationalSeriesAndRacialEthnicGroup[[#This Row],[AIAN Female Avg Salary]]/FemalePayGapsByOccupationalSeriesAndRacialEthnicGroup[[#This Row],[White Male Average Salary]],"")</f>
        <v/>
      </c>
      <c r="L208" s="10" t="str">
        <f>IFERROR(FemalePayGapsByOccupationalSeriesAndRacialEthnicGroup[[#This Row],[ANHPI Female Employees]]/M$318,"")</f>
        <v/>
      </c>
      <c r="M208" s="8" t="s">
        <v>0</v>
      </c>
      <c r="N208" s="6" t="s">
        <v>0</v>
      </c>
      <c r="O208" s="52" t="str">
        <f>IFERROR(FemalePayGapsByOccupationalSeriesAndRacialEthnicGroup[[#This Row],[ANHPI Female Avg Salary]]/FemalePayGapsByOccupationalSeriesAndRacialEthnicGroup[[#This Row],[White Male Average Salary]],"")</f>
        <v/>
      </c>
      <c r="P208" s="10">
        <f>IFERROR(FemalePayGapsByOccupationalSeriesAndRacialEthnicGroup[[#This Row],[Black Female Employees]]/Q$318,"")</f>
        <v>2.7564574768909058E-4</v>
      </c>
      <c r="Q208" s="8">
        <v>58</v>
      </c>
      <c r="R208" s="6">
        <v>94511.827586207</v>
      </c>
      <c r="S208" s="52">
        <f>IFERROR(FemalePayGapsByOccupationalSeriesAndRacialEthnicGroup[[#This Row],[Black Female Avg Salary]]/FemalePayGapsByOccupationalSeriesAndRacialEthnicGroup[[#This Row],[White Male Average Salary]],"")</f>
        <v>1.071444500842758</v>
      </c>
      <c r="T208" s="10" t="str">
        <f>IFERROR(FemalePayGapsByOccupationalSeriesAndRacialEthnicGroup[[#This Row],[Hispanic Latino Female Employees]]/U$318,"")</f>
        <v/>
      </c>
      <c r="U208" s="8" t="s">
        <v>0</v>
      </c>
      <c r="V208" s="6" t="s">
        <v>0</v>
      </c>
      <c r="W20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08" s="10" t="str">
        <f>IFERROR(FemalePayGapsByOccupationalSeriesAndRacialEthnicGroup[[#This Row],[Other Female Employees]]/Y$318,"")</f>
        <v/>
      </c>
      <c r="Y208" s="8" t="s">
        <v>0</v>
      </c>
      <c r="Z208" s="6" t="s">
        <v>0</v>
      </c>
      <c r="AA20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09" spans="1:27" ht="15.6" x14ac:dyDescent="0.3">
      <c r="A209" s="46" t="s">
        <v>218</v>
      </c>
      <c r="B209" s="40">
        <v>654</v>
      </c>
      <c r="C209" s="41">
        <v>52106.304615385001</v>
      </c>
      <c r="D209" s="70">
        <f>IFERROR(FemalePayGapsByOccupationalSeriesAndRacialEthnicGroup[[#This Row],[White Female Employees]]/E$318,"")</f>
        <v>1.8817168968976864E-3</v>
      </c>
      <c r="E209" s="16">
        <v>859</v>
      </c>
      <c r="F209" s="17">
        <v>55345.210955711002</v>
      </c>
      <c r="G209" s="18">
        <f>IFERROR(FemalePayGapsByOccupationalSeriesAndRacialEthnicGroup[[#This Row],[White Female Avg Salary]]/FemalePayGapsByOccupationalSeriesAndRacialEthnicGroup[[#This Row],[White Male Average Salary]],"")</f>
        <v>1.0621595863347728</v>
      </c>
      <c r="H209" s="10" t="str">
        <f>IFERROR(FemalePayGapsByOccupationalSeriesAndRacialEthnicGroup[[#This Row],[AIAN Female Employees]]/I$318,"")</f>
        <v/>
      </c>
      <c r="I209" t="s">
        <v>0</v>
      </c>
      <c r="J209" s="6" t="s">
        <v>0</v>
      </c>
      <c r="K209" s="52" t="str">
        <f>IFERROR(FemalePayGapsByOccupationalSeriesAndRacialEthnicGroup[[#This Row],[AIAN Female Avg Salary]]/FemalePayGapsByOccupationalSeriesAndRacialEthnicGroup[[#This Row],[White Male Average Salary]],"")</f>
        <v/>
      </c>
      <c r="L209" s="10">
        <f>IFERROR(FemalePayGapsByOccupationalSeriesAndRacialEthnicGroup[[#This Row],[ANHPI Female Employees]]/M$318,"")</f>
        <v>1.2002182214948171E-3</v>
      </c>
      <c r="M209" s="8">
        <v>77</v>
      </c>
      <c r="N209" s="6">
        <v>54179.428571429002</v>
      </c>
      <c r="O209" s="52">
        <f>IFERROR(FemalePayGapsByOccupationalSeriesAndRacialEthnicGroup[[#This Row],[ANHPI Female Avg Salary]]/FemalePayGapsByOccupationalSeriesAndRacialEthnicGroup[[#This Row],[White Male Average Salary]],"")</f>
        <v>1.0397864322052093</v>
      </c>
      <c r="P209" s="10">
        <f>IFERROR(FemalePayGapsByOccupationalSeriesAndRacialEthnicGroup[[#This Row],[Black Female Employees]]/Q$318,"")</f>
        <v>2.7041798350878029E-3</v>
      </c>
      <c r="Q209" s="8">
        <v>569</v>
      </c>
      <c r="R209" s="6">
        <v>55390.497354496998</v>
      </c>
      <c r="S209" s="52">
        <f>IFERROR(FemalePayGapsByOccupationalSeriesAndRacialEthnicGroup[[#This Row],[Black Female Avg Salary]]/FemalePayGapsByOccupationalSeriesAndRacialEthnicGroup[[#This Row],[White Male Average Salary]],"")</f>
        <v>1.063028701869261</v>
      </c>
      <c r="T209" s="10">
        <f>IFERROR(FemalePayGapsByOccupationalSeriesAndRacialEthnicGroup[[#This Row],[Hispanic Latino Female Employees]]/U$318,"")</f>
        <v>1.6279338059041442E-3</v>
      </c>
      <c r="U209" s="8">
        <v>127</v>
      </c>
      <c r="V209" s="6">
        <v>55427.582677165003</v>
      </c>
      <c r="W209" s="52">
        <f>IFERROR(FemalePayGapsByOccupationalSeriesAndRacialEthnicGroup[[#This Row],[Hispanic Latino Female Avg Salary]]/FemalePayGapsByOccupationalSeriesAndRacialEthnicGroup[[#This Row],[White Male Average Salary]],"")</f>
        <v>1.0637404261594738</v>
      </c>
      <c r="X209" s="10" t="str">
        <f>IFERROR(FemalePayGapsByOccupationalSeriesAndRacialEthnicGroup[[#This Row],[Other Female Employees]]/Y$318,"")</f>
        <v/>
      </c>
      <c r="Y209" s="8" t="s">
        <v>0</v>
      </c>
      <c r="Z209" s="6" t="s">
        <v>0</v>
      </c>
      <c r="AA20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10" spans="1:27" ht="15.6" x14ac:dyDescent="0.3">
      <c r="A210" s="45" t="s">
        <v>219</v>
      </c>
      <c r="B210" s="38">
        <v>172</v>
      </c>
      <c r="C210" s="39">
        <v>52505.808139535002</v>
      </c>
      <c r="D210" s="69">
        <f>IFERROR(FemalePayGapsByOccupationalSeriesAndRacialEthnicGroup[[#This Row],[White Female Employees]]/E$318,"")</f>
        <v>7.4261004429373187E-4</v>
      </c>
      <c r="E210" s="67">
        <v>339</v>
      </c>
      <c r="F210" s="64">
        <v>54462.911504424999</v>
      </c>
      <c r="G210" s="72">
        <f>IFERROR(FemalePayGapsByOccupationalSeriesAndRacialEthnicGroup[[#This Row],[White Female Avg Salary]]/FemalePayGapsByOccupationalSeriesAndRacialEthnicGroup[[#This Row],[White Male Average Salary]],"")</f>
        <v>1.0372740356588543</v>
      </c>
      <c r="H210" s="10" t="str">
        <f>IFERROR(FemalePayGapsByOccupationalSeriesAndRacialEthnicGroup[[#This Row],[AIAN Female Employees]]/I$318,"")</f>
        <v/>
      </c>
      <c r="I210" t="s">
        <v>0</v>
      </c>
      <c r="J210" s="6" t="s">
        <v>0</v>
      </c>
      <c r="K210" s="52" t="str">
        <f>IFERROR(FemalePayGapsByOccupationalSeriesAndRacialEthnicGroup[[#This Row],[AIAN Female Avg Salary]]/FemalePayGapsByOccupationalSeriesAndRacialEthnicGroup[[#This Row],[White Male Average Salary]],"")</f>
        <v/>
      </c>
      <c r="L210" s="10" t="str">
        <f>IFERROR(FemalePayGapsByOccupationalSeriesAndRacialEthnicGroup[[#This Row],[ANHPI Female Employees]]/M$318,"")</f>
        <v/>
      </c>
      <c r="M210" s="8" t="s">
        <v>0</v>
      </c>
      <c r="N210" s="6" t="s">
        <v>0</v>
      </c>
      <c r="O210" s="52" t="str">
        <f>IFERROR(FemalePayGapsByOccupationalSeriesAndRacialEthnicGroup[[#This Row],[ANHPI Female Avg Salary]]/FemalePayGapsByOccupationalSeriesAndRacialEthnicGroup[[#This Row],[White Male Average Salary]],"")</f>
        <v/>
      </c>
      <c r="P210" s="10">
        <f>IFERROR(FemalePayGapsByOccupationalSeriesAndRacialEthnicGroup[[#This Row],[Black Female Employees]]/Q$318,"")</f>
        <v>7.3663949813463866E-4</v>
      </c>
      <c r="Q210" s="8">
        <v>155</v>
      </c>
      <c r="R210" s="6">
        <v>55748.341935484001</v>
      </c>
      <c r="S210" s="52">
        <f>IFERROR(FemalePayGapsByOccupationalSeriesAndRacialEthnicGroup[[#This Row],[Black Female Avg Salary]]/FemalePayGapsByOccupationalSeriesAndRacialEthnicGroup[[#This Row],[White Male Average Salary]],"")</f>
        <v>1.0617557163834506</v>
      </c>
      <c r="T210" s="10" t="str">
        <f>IFERROR(FemalePayGapsByOccupationalSeriesAndRacialEthnicGroup[[#This Row],[Hispanic Latino Female Employees]]/U$318,"")</f>
        <v/>
      </c>
      <c r="U210" s="8" t="s">
        <v>0</v>
      </c>
      <c r="V210" s="6" t="s">
        <v>0</v>
      </c>
      <c r="W21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10" s="10" t="str">
        <f>IFERROR(FemalePayGapsByOccupationalSeriesAndRacialEthnicGroup[[#This Row],[Other Female Employees]]/Y$318,"")</f>
        <v/>
      </c>
      <c r="Y210" s="8" t="s">
        <v>0</v>
      </c>
      <c r="Z210" s="6" t="s">
        <v>0</v>
      </c>
      <c r="AA21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11" spans="1:27" ht="15.6" x14ac:dyDescent="0.3">
      <c r="A211" s="46" t="s">
        <v>220</v>
      </c>
      <c r="B211" s="40">
        <v>466</v>
      </c>
      <c r="C211" s="41">
        <v>113157.72532188801</v>
      </c>
      <c r="D211" s="70">
        <f>IFERROR(FemalePayGapsByOccupationalSeriesAndRacialEthnicGroup[[#This Row],[White Female Employees]]/E$318,"")</f>
        <v>2.118300627823123E-3</v>
      </c>
      <c r="E211" s="16">
        <v>967</v>
      </c>
      <c r="F211" s="17">
        <v>109976.38262668</v>
      </c>
      <c r="G211" s="18">
        <f>IFERROR(FemalePayGapsByOccupationalSeriesAndRacialEthnicGroup[[#This Row],[White Female Avg Salary]]/FemalePayGapsByOccupationalSeriesAndRacialEthnicGroup[[#This Row],[White Male Average Salary]],"")</f>
        <v>0.97188576664864579</v>
      </c>
      <c r="H211" s="10" t="str">
        <f>IFERROR(FemalePayGapsByOccupationalSeriesAndRacialEthnicGroup[[#This Row],[AIAN Female Employees]]/I$318,"")</f>
        <v/>
      </c>
      <c r="I211" t="s">
        <v>0</v>
      </c>
      <c r="J211" s="6" t="s">
        <v>0</v>
      </c>
      <c r="K211" s="52" t="str">
        <f>IFERROR(FemalePayGapsByOccupationalSeriesAndRacialEthnicGroup[[#This Row],[AIAN Female Avg Salary]]/FemalePayGapsByOccupationalSeriesAndRacialEthnicGroup[[#This Row],[White Male Average Salary]],"")</f>
        <v/>
      </c>
      <c r="L211" s="10">
        <f>IFERROR(FemalePayGapsByOccupationalSeriesAndRacialEthnicGroup[[#This Row],[ANHPI Female Employees]]/M$318,"")</f>
        <v>1.9951679526147613E-3</v>
      </c>
      <c r="M211" s="8">
        <v>128</v>
      </c>
      <c r="N211" s="6">
        <v>115699.0078125</v>
      </c>
      <c r="O211" s="52">
        <f>IFERROR(FemalePayGapsByOccupationalSeriesAndRacialEthnicGroup[[#This Row],[ANHPI Female Avg Salary]]/FemalePayGapsByOccupationalSeriesAndRacialEthnicGroup[[#This Row],[White Male Average Salary]],"")</f>
        <v>1.0224578788888083</v>
      </c>
      <c r="P211" s="10">
        <f>IFERROR(FemalePayGapsByOccupationalSeriesAndRacialEthnicGroup[[#This Row],[Black Female Employees]]/Q$318,"")</f>
        <v>3.4408193332224413E-3</v>
      </c>
      <c r="Q211" s="8">
        <v>724</v>
      </c>
      <c r="R211" s="6">
        <v>115011.715469613</v>
      </c>
      <c r="S211" s="52">
        <f>IFERROR(FemalePayGapsByOccupationalSeriesAndRacialEthnicGroup[[#This Row],[Black Female Avg Salary]]/FemalePayGapsByOccupationalSeriesAndRacialEthnicGroup[[#This Row],[White Male Average Salary]],"")</f>
        <v>1.0163841235094744</v>
      </c>
      <c r="T211" s="10">
        <f>IFERROR(FemalePayGapsByOccupationalSeriesAndRacialEthnicGroup[[#This Row],[Hispanic Latino Female Employees]]/U$318,"")</f>
        <v>1.7432991937241229E-3</v>
      </c>
      <c r="U211" s="8">
        <v>136</v>
      </c>
      <c r="V211" s="6">
        <v>104277.080882353</v>
      </c>
      <c r="W211" s="52">
        <f>IFERROR(FemalePayGapsByOccupationalSeriesAndRacialEthnicGroup[[#This Row],[Hispanic Latino Female Avg Salary]]/FemalePayGapsByOccupationalSeriesAndRacialEthnicGroup[[#This Row],[White Male Average Salary]],"")</f>
        <v>0.92151976885119269</v>
      </c>
      <c r="X211" s="10" t="str">
        <f>IFERROR(FemalePayGapsByOccupationalSeriesAndRacialEthnicGroup[[#This Row],[Other Female Employees]]/Y$318,"")</f>
        <v/>
      </c>
      <c r="Y211" s="8" t="s">
        <v>0</v>
      </c>
      <c r="Z211" s="6" t="s">
        <v>0</v>
      </c>
      <c r="AA21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12" spans="1:27" ht="15.6" x14ac:dyDescent="0.3">
      <c r="A212" s="45" t="s">
        <v>221</v>
      </c>
      <c r="B212" s="38">
        <v>163</v>
      </c>
      <c r="C212" s="39">
        <v>115002.00613496899</v>
      </c>
      <c r="D212" s="69">
        <f>IFERROR(FemalePayGapsByOccupationalSeriesAndRacialEthnicGroup[[#This Row],[White Female Employees]]/E$318,"")</f>
        <v>4.2278388952416004E-4</v>
      </c>
      <c r="E212" s="67">
        <v>193</v>
      </c>
      <c r="F212" s="64">
        <v>110703.886010363</v>
      </c>
      <c r="G212" s="72">
        <f>IFERROR(FemalePayGapsByOccupationalSeriesAndRacialEthnicGroup[[#This Row],[White Female Avg Salary]]/FemalePayGapsByOccupationalSeriesAndRacialEthnicGroup[[#This Row],[White Male Average Salary]],"")</f>
        <v>0.96262569437648227</v>
      </c>
      <c r="H212" s="10" t="str">
        <f>IFERROR(FemalePayGapsByOccupationalSeriesAndRacialEthnicGroup[[#This Row],[AIAN Female Employees]]/I$318,"")</f>
        <v/>
      </c>
      <c r="I212" t="s">
        <v>0</v>
      </c>
      <c r="J212" s="6" t="s">
        <v>0</v>
      </c>
      <c r="K212" s="52" t="str">
        <f>IFERROR(FemalePayGapsByOccupationalSeriesAndRacialEthnicGroup[[#This Row],[AIAN Female Avg Salary]]/FemalePayGapsByOccupationalSeriesAndRacialEthnicGroup[[#This Row],[White Male Average Salary]],"")</f>
        <v/>
      </c>
      <c r="L212" s="10" t="str">
        <f>IFERROR(FemalePayGapsByOccupationalSeriesAndRacialEthnicGroup[[#This Row],[ANHPI Female Employees]]/M$318,"")</f>
        <v/>
      </c>
      <c r="M212" s="8" t="s">
        <v>0</v>
      </c>
      <c r="N212" s="6" t="s">
        <v>0</v>
      </c>
      <c r="O212" s="52" t="str">
        <f>IFERROR(FemalePayGapsByOccupationalSeriesAndRacialEthnicGroup[[#This Row],[ANHPI Female Avg Salary]]/FemalePayGapsByOccupationalSeriesAndRacialEthnicGroup[[#This Row],[White Male Average Salary]],"")</f>
        <v/>
      </c>
      <c r="P212" s="10" t="str">
        <f>IFERROR(FemalePayGapsByOccupationalSeriesAndRacialEthnicGroup[[#This Row],[Black Female Employees]]/Q$318,"")</f>
        <v/>
      </c>
      <c r="Q212" s="8" t="s">
        <v>0</v>
      </c>
      <c r="R212" s="6" t="s">
        <v>0</v>
      </c>
      <c r="S212" s="52" t="str">
        <f>IFERROR(FemalePayGapsByOccupationalSeriesAndRacialEthnicGroup[[#This Row],[Black Female Avg Salary]]/FemalePayGapsByOccupationalSeriesAndRacialEthnicGroup[[#This Row],[White Male Average Salary]],"")</f>
        <v/>
      </c>
      <c r="T212" s="10" t="str">
        <f>IFERROR(FemalePayGapsByOccupationalSeriesAndRacialEthnicGroup[[#This Row],[Hispanic Latino Female Employees]]/U$318,"")</f>
        <v/>
      </c>
      <c r="U212" s="8" t="s">
        <v>0</v>
      </c>
      <c r="V212" s="6" t="s">
        <v>0</v>
      </c>
      <c r="W21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12" s="10" t="str">
        <f>IFERROR(FemalePayGapsByOccupationalSeriesAndRacialEthnicGroup[[#This Row],[Other Female Employees]]/Y$318,"")</f>
        <v/>
      </c>
      <c r="Y212" s="8" t="s">
        <v>0</v>
      </c>
      <c r="Z212" s="6" t="s">
        <v>0</v>
      </c>
      <c r="AA21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13" spans="1:27" ht="15.6" x14ac:dyDescent="0.3">
      <c r="A213" s="46" t="s">
        <v>222</v>
      </c>
      <c r="B213" s="40">
        <v>273</v>
      </c>
      <c r="C213" s="41">
        <v>129129.444852941</v>
      </c>
      <c r="D213" s="70">
        <f>IFERROR(FemalePayGapsByOccupationalSeriesAndRacialEthnicGroup[[#This Row],[White Female Employees]]/E$318,"")</f>
        <v>5.5860047579616996E-4</v>
      </c>
      <c r="E213" s="16">
        <v>255</v>
      </c>
      <c r="F213" s="17">
        <v>129008.36078431401</v>
      </c>
      <c r="G213" s="18">
        <f>IFERROR(FemalePayGapsByOccupationalSeriesAndRacialEthnicGroup[[#This Row],[White Female Avg Salary]]/FemalePayGapsByOccupationalSeriesAndRacialEthnicGroup[[#This Row],[White Male Average Salary]],"")</f>
        <v>0.99906230473797131</v>
      </c>
      <c r="H213" s="10" t="str">
        <f>IFERROR(FemalePayGapsByOccupationalSeriesAndRacialEthnicGroup[[#This Row],[AIAN Female Employees]]/I$318,"")</f>
        <v/>
      </c>
      <c r="I213" t="s">
        <v>0</v>
      </c>
      <c r="J213" s="6" t="s">
        <v>0</v>
      </c>
      <c r="K213" s="52" t="str">
        <f>IFERROR(FemalePayGapsByOccupationalSeriesAndRacialEthnicGroup[[#This Row],[AIAN Female Avg Salary]]/FemalePayGapsByOccupationalSeriesAndRacialEthnicGroup[[#This Row],[White Male Average Salary]],"")</f>
        <v/>
      </c>
      <c r="L213" s="10" t="str">
        <f>IFERROR(FemalePayGapsByOccupationalSeriesAndRacialEthnicGroup[[#This Row],[ANHPI Female Employees]]/M$318,"")</f>
        <v/>
      </c>
      <c r="M213" s="8" t="s">
        <v>0</v>
      </c>
      <c r="N213" s="6" t="s">
        <v>0</v>
      </c>
      <c r="O213" s="52" t="str">
        <f>IFERROR(FemalePayGapsByOccupationalSeriesAndRacialEthnicGroup[[#This Row],[ANHPI Female Avg Salary]]/FemalePayGapsByOccupationalSeriesAndRacialEthnicGroup[[#This Row],[White Male Average Salary]],"")</f>
        <v/>
      </c>
      <c r="P213" s="10" t="str">
        <f>IFERROR(FemalePayGapsByOccupationalSeriesAndRacialEthnicGroup[[#This Row],[Black Female Employees]]/Q$318,"")</f>
        <v/>
      </c>
      <c r="Q213" s="8" t="s">
        <v>0</v>
      </c>
      <c r="R213" s="6" t="s">
        <v>0</v>
      </c>
      <c r="S213" s="52" t="str">
        <f>IFERROR(FemalePayGapsByOccupationalSeriesAndRacialEthnicGroup[[#This Row],[Black Female Avg Salary]]/FemalePayGapsByOccupationalSeriesAndRacialEthnicGroup[[#This Row],[White Male Average Salary]],"")</f>
        <v/>
      </c>
      <c r="T213" s="10" t="str">
        <f>IFERROR(FemalePayGapsByOccupationalSeriesAndRacialEthnicGroup[[#This Row],[Hispanic Latino Female Employees]]/U$318,"")</f>
        <v/>
      </c>
      <c r="U213" s="8" t="s">
        <v>0</v>
      </c>
      <c r="V213" s="6" t="s">
        <v>0</v>
      </c>
      <c r="W21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13" s="10" t="str">
        <f>IFERROR(FemalePayGapsByOccupationalSeriesAndRacialEthnicGroup[[#This Row],[Other Female Employees]]/Y$318,"")</f>
        <v/>
      </c>
      <c r="Y213" s="8" t="s">
        <v>0</v>
      </c>
      <c r="Z213" s="6" t="s">
        <v>0</v>
      </c>
      <c r="AA21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14" spans="1:27" ht="15.6" x14ac:dyDescent="0.3">
      <c r="A214" s="45" t="s">
        <v>223</v>
      </c>
      <c r="B214" s="38">
        <v>344</v>
      </c>
      <c r="C214" s="39">
        <v>77061.810495626996</v>
      </c>
      <c r="D214" s="69">
        <f>IFERROR(FemalePayGapsByOccupationalSeriesAndRacialEthnicGroup[[#This Row],[White Female Employees]]/E$318,"")</f>
        <v>4.863110024578421E-4</v>
      </c>
      <c r="E214" s="67">
        <v>222</v>
      </c>
      <c r="F214" s="64">
        <v>75725.252252252001</v>
      </c>
      <c r="G214" s="72">
        <f>IFERROR(FemalePayGapsByOccupationalSeriesAndRacialEthnicGroup[[#This Row],[White Female Avg Salary]]/FemalePayGapsByOccupationalSeriesAndRacialEthnicGroup[[#This Row],[White Male Average Salary]],"")</f>
        <v>0.98265602333011837</v>
      </c>
      <c r="H214" s="10" t="str">
        <f>IFERROR(FemalePayGapsByOccupationalSeriesAndRacialEthnicGroup[[#This Row],[AIAN Female Employees]]/I$318,"")</f>
        <v/>
      </c>
      <c r="I214" t="s">
        <v>0</v>
      </c>
      <c r="J214" s="6" t="s">
        <v>0</v>
      </c>
      <c r="K214" s="52" t="str">
        <f>IFERROR(FemalePayGapsByOccupationalSeriesAndRacialEthnicGroup[[#This Row],[AIAN Female Avg Salary]]/FemalePayGapsByOccupationalSeriesAndRacialEthnicGroup[[#This Row],[White Male Average Salary]],"")</f>
        <v/>
      </c>
      <c r="L214" s="10">
        <f>IFERROR(FemalePayGapsByOccupationalSeriesAndRacialEthnicGroup[[#This Row],[ANHPI Female Employees]]/M$318,"")</f>
        <v>1.5743122126100849E-3</v>
      </c>
      <c r="M214" s="8">
        <v>101</v>
      </c>
      <c r="N214" s="6">
        <v>69937.673267327002</v>
      </c>
      <c r="O214" s="52">
        <f>IFERROR(FemalePayGapsByOccupationalSeriesAndRacialEthnicGroup[[#This Row],[ANHPI Female Avg Salary]]/FemalePayGapsByOccupationalSeriesAndRacialEthnicGroup[[#This Row],[White Male Average Salary]],"")</f>
        <v>0.90755294766005701</v>
      </c>
      <c r="P214" s="10">
        <f>IFERROR(FemalePayGapsByOccupationalSeriesAndRacialEthnicGroup[[#This Row],[Black Female Employees]]/Q$318,"")</f>
        <v>6.3683672741962313E-4</v>
      </c>
      <c r="Q214" s="8">
        <v>134</v>
      </c>
      <c r="R214" s="6">
        <v>75993.029850745996</v>
      </c>
      <c r="S214" s="52">
        <f>IFERROR(FemalePayGapsByOccupationalSeriesAndRacialEthnicGroup[[#This Row],[Black Female Avg Salary]]/FemalePayGapsByOccupationalSeriesAndRacialEthnicGroup[[#This Row],[White Male Average Salary]],"")</f>
        <v>0.98613086510676196</v>
      </c>
      <c r="T214" s="10">
        <f>IFERROR(FemalePayGapsByOccupationalSeriesAndRacialEthnicGroup[[#This Row],[Hispanic Latino Female Employees]]/U$318,"")</f>
        <v>7.3064745619319852E-4</v>
      </c>
      <c r="U214" s="8">
        <v>57</v>
      </c>
      <c r="V214" s="6">
        <v>70659.122807017993</v>
      </c>
      <c r="W214" s="52">
        <f>IFERROR(FemalePayGapsByOccupationalSeriesAndRacialEthnicGroup[[#This Row],[Hispanic Latino Female Avg Salary]]/FemalePayGapsByOccupationalSeriesAndRacialEthnicGroup[[#This Row],[White Male Average Salary]],"")</f>
        <v>0.91691490704111689</v>
      </c>
      <c r="X214" s="10" t="str">
        <f>IFERROR(FemalePayGapsByOccupationalSeriesAndRacialEthnicGroup[[#This Row],[Other Female Employees]]/Y$318,"")</f>
        <v/>
      </c>
      <c r="Y214" s="8" t="s">
        <v>0</v>
      </c>
      <c r="Z214" s="6" t="s">
        <v>0</v>
      </c>
      <c r="AA21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15" spans="1:27" ht="15.6" x14ac:dyDescent="0.3">
      <c r="A215" s="46" t="s">
        <v>224</v>
      </c>
      <c r="B215" s="40">
        <v>100</v>
      </c>
      <c r="C215" s="41">
        <v>107415.89</v>
      </c>
      <c r="D215" s="70">
        <f>IFERROR(FemalePayGapsByOccupationalSeriesAndRacialEthnicGroup[[#This Row],[White Female Employees]]/E$318,"")</f>
        <v>4.2278388952416004E-4</v>
      </c>
      <c r="E215" s="16">
        <v>193</v>
      </c>
      <c r="F215" s="17">
        <v>96605.455958549006</v>
      </c>
      <c r="G215" s="18">
        <f>IFERROR(FemalePayGapsByOccupationalSeriesAndRacialEthnicGroup[[#This Row],[White Female Avg Salary]]/FemalePayGapsByOccupationalSeriesAndRacialEthnicGroup[[#This Row],[White Male Average Salary]],"")</f>
        <v>0.89935907954166749</v>
      </c>
      <c r="H215" s="10" t="str">
        <f>IFERROR(FemalePayGapsByOccupationalSeriesAndRacialEthnicGroup[[#This Row],[AIAN Female Employees]]/I$318,"")</f>
        <v/>
      </c>
      <c r="I215" t="s">
        <v>0</v>
      </c>
      <c r="J215" s="6" t="s">
        <v>0</v>
      </c>
      <c r="K215" s="52" t="str">
        <f>IFERROR(FemalePayGapsByOccupationalSeriesAndRacialEthnicGroup[[#This Row],[AIAN Female Avg Salary]]/FemalePayGapsByOccupationalSeriesAndRacialEthnicGroup[[#This Row],[White Male Average Salary]],"")</f>
        <v/>
      </c>
      <c r="L215" s="10" t="str">
        <f>IFERROR(FemalePayGapsByOccupationalSeriesAndRacialEthnicGroup[[#This Row],[ANHPI Female Employees]]/M$318,"")</f>
        <v/>
      </c>
      <c r="M215" s="8" t="s">
        <v>0</v>
      </c>
      <c r="N215" s="6" t="s">
        <v>0</v>
      </c>
      <c r="O215" s="52" t="str">
        <f>IFERROR(FemalePayGapsByOccupationalSeriesAndRacialEthnicGroup[[#This Row],[ANHPI Female Avg Salary]]/FemalePayGapsByOccupationalSeriesAndRacialEthnicGroup[[#This Row],[White Male Average Salary]],"")</f>
        <v/>
      </c>
      <c r="P215" s="10" t="str">
        <f>IFERROR(FemalePayGapsByOccupationalSeriesAndRacialEthnicGroup[[#This Row],[Black Female Employees]]/Q$318,"")</f>
        <v/>
      </c>
      <c r="Q215" s="8" t="s">
        <v>0</v>
      </c>
      <c r="R215" s="6" t="s">
        <v>0</v>
      </c>
      <c r="S215" s="52" t="str">
        <f>IFERROR(FemalePayGapsByOccupationalSeriesAndRacialEthnicGroup[[#This Row],[Black Female Avg Salary]]/FemalePayGapsByOccupationalSeriesAndRacialEthnicGroup[[#This Row],[White Male Average Salary]],"")</f>
        <v/>
      </c>
      <c r="T215" s="10" t="str">
        <f>IFERROR(FemalePayGapsByOccupationalSeriesAndRacialEthnicGroup[[#This Row],[Hispanic Latino Female Employees]]/U$318,"")</f>
        <v/>
      </c>
      <c r="U215" s="8" t="s">
        <v>0</v>
      </c>
      <c r="V215" s="6" t="s">
        <v>0</v>
      </c>
      <c r="W21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15" s="10" t="str">
        <f>IFERROR(FemalePayGapsByOccupationalSeriesAndRacialEthnicGroup[[#This Row],[Other Female Employees]]/Y$318,"")</f>
        <v/>
      </c>
      <c r="Y215" s="8" t="s">
        <v>0</v>
      </c>
      <c r="Z215" s="6" t="s">
        <v>0</v>
      </c>
      <c r="AA21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16" spans="1:27" ht="15.6" x14ac:dyDescent="0.3">
      <c r="A216" s="45" t="s">
        <v>225</v>
      </c>
      <c r="B216" s="38">
        <v>208</v>
      </c>
      <c r="C216" s="39">
        <v>110753.634615385</v>
      </c>
      <c r="D216" s="69">
        <f>IFERROR(FemalePayGapsByOccupationalSeriesAndRacialEthnicGroup[[#This Row],[White Female Employees]]/E$318,"")</f>
        <v>3.745909072986081E-4</v>
      </c>
      <c r="E216" s="67">
        <v>171</v>
      </c>
      <c r="F216" s="64">
        <v>105661.210526316</v>
      </c>
      <c r="G216" s="72">
        <f>IFERROR(FemalePayGapsByOccupationalSeriesAndRacialEthnicGroup[[#This Row],[White Female Avg Salary]]/FemalePayGapsByOccupationalSeriesAndRacialEthnicGroup[[#This Row],[White Male Average Salary]],"")</f>
        <v>0.95402025308917848</v>
      </c>
      <c r="H216" s="10" t="str">
        <f>IFERROR(FemalePayGapsByOccupationalSeriesAndRacialEthnicGroup[[#This Row],[AIAN Female Employees]]/I$318,"")</f>
        <v/>
      </c>
      <c r="I216" t="s">
        <v>0</v>
      </c>
      <c r="J216" s="6" t="s">
        <v>0</v>
      </c>
      <c r="K216" s="52" t="str">
        <f>IFERROR(FemalePayGapsByOccupationalSeriesAndRacialEthnicGroup[[#This Row],[AIAN Female Avg Salary]]/FemalePayGapsByOccupationalSeriesAndRacialEthnicGroup[[#This Row],[White Male Average Salary]],"")</f>
        <v/>
      </c>
      <c r="L216" s="10" t="str">
        <f>IFERROR(FemalePayGapsByOccupationalSeriesAndRacialEthnicGroup[[#This Row],[ANHPI Female Employees]]/M$318,"")</f>
        <v/>
      </c>
      <c r="M216" s="8" t="s">
        <v>0</v>
      </c>
      <c r="N216" s="6" t="s">
        <v>0</v>
      </c>
      <c r="O216" s="52" t="str">
        <f>IFERROR(FemalePayGapsByOccupationalSeriesAndRacialEthnicGroup[[#This Row],[ANHPI Female Avg Salary]]/FemalePayGapsByOccupationalSeriesAndRacialEthnicGroup[[#This Row],[White Male Average Salary]],"")</f>
        <v/>
      </c>
      <c r="P216" s="10" t="str">
        <f>IFERROR(FemalePayGapsByOccupationalSeriesAndRacialEthnicGroup[[#This Row],[Black Female Employees]]/Q$318,"")</f>
        <v/>
      </c>
      <c r="Q216" s="8" t="s">
        <v>0</v>
      </c>
      <c r="R216" s="6" t="s">
        <v>0</v>
      </c>
      <c r="S216" s="52" t="str">
        <f>IFERROR(FemalePayGapsByOccupationalSeriesAndRacialEthnicGroup[[#This Row],[Black Female Avg Salary]]/FemalePayGapsByOccupationalSeriesAndRacialEthnicGroup[[#This Row],[White Male Average Salary]],"")</f>
        <v/>
      </c>
      <c r="T216" s="10" t="str">
        <f>IFERROR(FemalePayGapsByOccupationalSeriesAndRacialEthnicGroup[[#This Row],[Hispanic Latino Female Employees]]/U$318,"")</f>
        <v/>
      </c>
      <c r="U216" s="8" t="s">
        <v>0</v>
      </c>
      <c r="V216" s="6" t="s">
        <v>0</v>
      </c>
      <c r="W21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16" s="10" t="str">
        <f>IFERROR(FemalePayGapsByOccupationalSeriesAndRacialEthnicGroup[[#This Row],[Other Female Employees]]/Y$318,"")</f>
        <v/>
      </c>
      <c r="Y216" s="8" t="s">
        <v>0</v>
      </c>
      <c r="Z216" s="6" t="s">
        <v>0</v>
      </c>
      <c r="AA21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17" spans="1:27" ht="15.6" x14ac:dyDescent="0.3">
      <c r="A217" s="46" t="s">
        <v>226</v>
      </c>
      <c r="B217" s="40">
        <v>64</v>
      </c>
      <c r="C217" s="41">
        <v>90647.921875</v>
      </c>
      <c r="D217" s="70">
        <f>IFERROR(FemalePayGapsByOccupationalSeriesAndRacialEthnicGroup[[#This Row],[White Female Employees]]/E$318,"")</f>
        <v>1.0514832485574964E-4</v>
      </c>
      <c r="E217" s="16">
        <v>48</v>
      </c>
      <c r="F217" s="17">
        <v>82555.645833332994</v>
      </c>
      <c r="G217" s="18">
        <f>IFERROR(FemalePayGapsByOccupationalSeriesAndRacialEthnicGroup[[#This Row],[White Female Avg Salary]]/FemalePayGapsByOccupationalSeriesAndRacialEthnicGroup[[#This Row],[White Male Average Salary]],"")</f>
        <v>0.91072849907330533</v>
      </c>
      <c r="H217" s="10" t="str">
        <f>IFERROR(FemalePayGapsByOccupationalSeriesAndRacialEthnicGroup[[#This Row],[AIAN Female Employees]]/I$318,"")</f>
        <v/>
      </c>
      <c r="I217" t="s">
        <v>0</v>
      </c>
      <c r="J217" s="6" t="s">
        <v>0</v>
      </c>
      <c r="K217" s="52" t="str">
        <f>IFERROR(FemalePayGapsByOccupationalSeriesAndRacialEthnicGroup[[#This Row],[AIAN Female Avg Salary]]/FemalePayGapsByOccupationalSeriesAndRacialEthnicGroup[[#This Row],[White Male Average Salary]],"")</f>
        <v/>
      </c>
      <c r="L217" s="10" t="str">
        <f>IFERROR(FemalePayGapsByOccupationalSeriesAndRacialEthnicGroup[[#This Row],[ANHPI Female Employees]]/M$318,"")</f>
        <v/>
      </c>
      <c r="M217" s="8" t="s">
        <v>0</v>
      </c>
      <c r="N217" s="6" t="s">
        <v>0</v>
      </c>
      <c r="O217" s="52" t="str">
        <f>IFERROR(FemalePayGapsByOccupationalSeriesAndRacialEthnicGroup[[#This Row],[ANHPI Female Avg Salary]]/FemalePayGapsByOccupationalSeriesAndRacialEthnicGroup[[#This Row],[White Male Average Salary]],"")</f>
        <v/>
      </c>
      <c r="P217" s="10" t="str">
        <f>IFERROR(FemalePayGapsByOccupationalSeriesAndRacialEthnicGroup[[#This Row],[Black Female Employees]]/Q$318,"")</f>
        <v/>
      </c>
      <c r="Q217" s="8" t="s">
        <v>0</v>
      </c>
      <c r="R217" s="6" t="s">
        <v>0</v>
      </c>
      <c r="S217" s="52" t="str">
        <f>IFERROR(FemalePayGapsByOccupationalSeriesAndRacialEthnicGroup[[#This Row],[Black Female Avg Salary]]/FemalePayGapsByOccupationalSeriesAndRacialEthnicGroup[[#This Row],[White Male Average Salary]],"")</f>
        <v/>
      </c>
      <c r="T217" s="10" t="str">
        <f>IFERROR(FemalePayGapsByOccupationalSeriesAndRacialEthnicGroup[[#This Row],[Hispanic Latino Female Employees]]/U$318,"")</f>
        <v/>
      </c>
      <c r="U217" s="8" t="s">
        <v>0</v>
      </c>
      <c r="V217" s="6" t="s">
        <v>0</v>
      </c>
      <c r="W21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17" s="10" t="str">
        <f>IFERROR(FemalePayGapsByOccupationalSeriesAndRacialEthnicGroup[[#This Row],[Other Female Employees]]/Y$318,"")</f>
        <v/>
      </c>
      <c r="Y217" s="8" t="s">
        <v>0</v>
      </c>
      <c r="Z217" s="6" t="s">
        <v>0</v>
      </c>
      <c r="AA21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18" spans="1:27" ht="15.6" x14ac:dyDescent="0.3">
      <c r="A218" s="45" t="s">
        <v>227</v>
      </c>
      <c r="B218" s="38">
        <v>635</v>
      </c>
      <c r="C218" s="39">
        <v>99421.943307087</v>
      </c>
      <c r="D218" s="69">
        <f>IFERROR(FemalePayGapsByOccupationalSeriesAndRacialEthnicGroup[[#This Row],[White Female Employees]]/E$318,"")</f>
        <v>3.7020972709628518E-4</v>
      </c>
      <c r="E218" s="67">
        <v>169</v>
      </c>
      <c r="F218" s="64">
        <v>92428.366863905001</v>
      </c>
      <c r="G218" s="72">
        <f>IFERROR(FemalePayGapsByOccupationalSeriesAndRacialEthnicGroup[[#This Row],[White Female Avg Salary]]/FemalePayGapsByOccupationalSeriesAndRacialEthnicGroup[[#This Row],[White Male Average Salary]],"")</f>
        <v>0.92965761671363867</v>
      </c>
      <c r="H218" s="10" t="str">
        <f>IFERROR(FemalePayGapsByOccupationalSeriesAndRacialEthnicGroup[[#This Row],[AIAN Female Employees]]/I$318,"")</f>
        <v/>
      </c>
      <c r="I218" t="s">
        <v>0</v>
      </c>
      <c r="J218" s="6" t="s">
        <v>0</v>
      </c>
      <c r="K218" s="52" t="str">
        <f>IFERROR(FemalePayGapsByOccupationalSeriesAndRacialEthnicGroup[[#This Row],[AIAN Female Avg Salary]]/FemalePayGapsByOccupationalSeriesAndRacialEthnicGroup[[#This Row],[White Male Average Salary]],"")</f>
        <v/>
      </c>
      <c r="L218" s="10" t="str">
        <f>IFERROR(FemalePayGapsByOccupationalSeriesAndRacialEthnicGroup[[#This Row],[ANHPI Female Employees]]/M$318,"")</f>
        <v/>
      </c>
      <c r="M218" s="8" t="s">
        <v>0</v>
      </c>
      <c r="N218" s="6" t="s">
        <v>0</v>
      </c>
      <c r="O218" s="52" t="str">
        <f>IFERROR(FemalePayGapsByOccupationalSeriesAndRacialEthnicGroup[[#This Row],[ANHPI Female Avg Salary]]/FemalePayGapsByOccupationalSeriesAndRacialEthnicGroup[[#This Row],[White Male Average Salary]],"")</f>
        <v/>
      </c>
      <c r="P218" s="10">
        <f>IFERROR(FemalePayGapsByOccupationalSeriesAndRacialEthnicGroup[[#This Row],[Black Female Employees]]/Q$318,"")</f>
        <v>2.9940831214504671E-4</v>
      </c>
      <c r="Q218" s="8">
        <v>63</v>
      </c>
      <c r="R218" s="6">
        <v>99409.285714286001</v>
      </c>
      <c r="S218" s="52">
        <f>IFERROR(FemalePayGapsByOccupationalSeriesAndRacialEthnicGroup[[#This Row],[Black Female Avg Salary]]/FemalePayGapsByOccupationalSeriesAndRacialEthnicGroup[[#This Row],[White Male Average Salary]],"")</f>
        <v>0.9998726881372465</v>
      </c>
      <c r="T218" s="10" t="str">
        <f>IFERROR(FemalePayGapsByOccupationalSeriesAndRacialEthnicGroup[[#This Row],[Hispanic Latino Female Employees]]/U$318,"")</f>
        <v/>
      </c>
      <c r="U218" s="8" t="s">
        <v>0</v>
      </c>
      <c r="V218" s="6" t="s">
        <v>0</v>
      </c>
      <c r="W21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18" s="10" t="str">
        <f>IFERROR(FemalePayGapsByOccupationalSeriesAndRacialEthnicGroup[[#This Row],[Other Female Employees]]/Y$318,"")</f>
        <v/>
      </c>
      <c r="Y218" s="8" t="s">
        <v>0</v>
      </c>
      <c r="Z218" s="6" t="s">
        <v>0</v>
      </c>
      <c r="AA21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19" spans="1:27" ht="15.6" x14ac:dyDescent="0.3">
      <c r="A219" s="46" t="s">
        <v>228</v>
      </c>
      <c r="B219" s="40">
        <v>2842</v>
      </c>
      <c r="C219" s="41">
        <v>76626.534670890993</v>
      </c>
      <c r="D219" s="70">
        <f>IFERROR(FemalePayGapsByOccupationalSeriesAndRacialEthnicGroup[[#This Row],[White Female Employees]]/E$318,"")</f>
        <v>1.9978181722592431E-3</v>
      </c>
      <c r="E219" s="16">
        <v>912</v>
      </c>
      <c r="F219" s="17">
        <v>68761.736553238006</v>
      </c>
      <c r="G219" s="18">
        <f>IFERROR(FemalePayGapsByOccupationalSeriesAndRacialEthnicGroup[[#This Row],[White Female Avg Salary]]/FemalePayGapsByOccupationalSeriesAndRacialEthnicGroup[[#This Row],[White Male Average Salary]],"")</f>
        <v>0.89736194972887529</v>
      </c>
      <c r="H219" s="10" t="str">
        <f>IFERROR(FemalePayGapsByOccupationalSeriesAndRacialEthnicGroup[[#This Row],[AIAN Female Employees]]/I$318,"")</f>
        <v/>
      </c>
      <c r="I219" t="s">
        <v>0</v>
      </c>
      <c r="J219" s="6" t="s">
        <v>0</v>
      </c>
      <c r="K219" s="52" t="str">
        <f>IFERROR(FemalePayGapsByOccupationalSeriesAndRacialEthnicGroup[[#This Row],[AIAN Female Avg Salary]]/FemalePayGapsByOccupationalSeriesAndRacialEthnicGroup[[#This Row],[White Male Average Salary]],"")</f>
        <v/>
      </c>
      <c r="L219" s="10">
        <f>IFERROR(FemalePayGapsByOccupationalSeriesAndRacialEthnicGroup[[#This Row],[ANHPI Female Employees]]/M$318,"")</f>
        <v>1.0755202244563946E-3</v>
      </c>
      <c r="M219" s="8">
        <v>69</v>
      </c>
      <c r="N219" s="6">
        <v>70587.753623187993</v>
      </c>
      <c r="O219" s="52">
        <f>IFERROR(FemalePayGapsByOccupationalSeriesAndRacialEthnicGroup[[#This Row],[ANHPI Female Avg Salary]]/FemalePayGapsByOccupationalSeriesAndRacialEthnicGroup[[#This Row],[White Male Average Salary]],"")</f>
        <v>0.92119203780205627</v>
      </c>
      <c r="P219" s="10">
        <f>IFERROR(FemalePayGapsByOccupationalSeriesAndRacialEthnicGroup[[#This Row],[Black Female Employees]]/Q$318,"")</f>
        <v>1.2831784806216287E-3</v>
      </c>
      <c r="Q219" s="8">
        <v>270</v>
      </c>
      <c r="R219" s="6">
        <v>67695.940740741004</v>
      </c>
      <c r="S219" s="52">
        <f>IFERROR(FemalePayGapsByOccupationalSeriesAndRacialEthnicGroup[[#This Row],[Black Female Avg Salary]]/FemalePayGapsByOccupationalSeriesAndRacialEthnicGroup[[#This Row],[White Male Average Salary]],"")</f>
        <v>0.88345298441973574</v>
      </c>
      <c r="T219" s="10">
        <f>IFERROR(FemalePayGapsByOccupationalSeriesAndRacialEthnicGroup[[#This Row],[Hispanic Latino Female Employees]]/U$318,"")</f>
        <v>2.1022137336085011E-3</v>
      </c>
      <c r="U219" s="8">
        <v>164</v>
      </c>
      <c r="V219" s="6">
        <v>66412.567073170998</v>
      </c>
      <c r="W219" s="52">
        <f>IFERROR(FemalePayGapsByOccupationalSeriesAndRacialEthnicGroup[[#This Row],[Hispanic Latino Female Avg Salary]]/FemalePayGapsByOccupationalSeriesAndRacialEthnicGroup[[#This Row],[White Male Average Salary]],"")</f>
        <v>0.86670456074271496</v>
      </c>
      <c r="X219" s="10">
        <f>IFERROR(FemalePayGapsByOccupationalSeriesAndRacialEthnicGroup[[#This Row],[Other Female Employees]]/Y$318,"")</f>
        <v>2.8262958566502741E-3</v>
      </c>
      <c r="Y219" s="8">
        <v>50</v>
      </c>
      <c r="Z219" s="6">
        <v>67215.899999999994</v>
      </c>
      <c r="AA219" s="1">
        <f>IFERROR(FemalePayGapsByOccupationalSeriesAndRacialEthnicGroup[[#This Row],[Other Female Avg Salary]]/FemalePayGapsByOccupationalSeriesAndRacialEthnicGroup[[#This Row],[White Male Average Salary]],"")</f>
        <v>0.87718830413890658</v>
      </c>
    </row>
    <row r="220" spans="1:27" ht="15.6" x14ac:dyDescent="0.3">
      <c r="A220" s="45" t="s">
        <v>229</v>
      </c>
      <c r="B220" s="38">
        <v>478</v>
      </c>
      <c r="C220" s="39">
        <v>154984.73894736799</v>
      </c>
      <c r="D220" s="69">
        <f>IFERROR(FemalePayGapsByOccupationalSeriesAndRacialEthnicGroup[[#This Row],[White Female Employees]]/E$318,"")</f>
        <v>5.3231339458223253E-4</v>
      </c>
      <c r="E220" s="67">
        <v>243</v>
      </c>
      <c r="F220" s="64">
        <v>138025.161157025</v>
      </c>
      <c r="G220" s="72">
        <f>IFERROR(FemalePayGapsByOccupationalSeriesAndRacialEthnicGroup[[#This Row],[White Female Avg Salary]]/FemalePayGapsByOccupationalSeriesAndRacialEthnicGroup[[#This Row],[White Male Average Salary]],"")</f>
        <v>0.89057259504690722</v>
      </c>
      <c r="H220" s="10" t="str">
        <f>IFERROR(FemalePayGapsByOccupationalSeriesAndRacialEthnicGroup[[#This Row],[AIAN Female Employees]]/I$318,"")</f>
        <v/>
      </c>
      <c r="I220" t="s">
        <v>0</v>
      </c>
      <c r="J220" s="6" t="s">
        <v>0</v>
      </c>
      <c r="K220" s="52" t="str">
        <f>IFERROR(FemalePayGapsByOccupationalSeriesAndRacialEthnicGroup[[#This Row],[AIAN Female Avg Salary]]/FemalePayGapsByOccupationalSeriesAndRacialEthnicGroup[[#This Row],[White Male Average Salary]],"")</f>
        <v/>
      </c>
      <c r="L220" s="10">
        <f>IFERROR(FemalePayGapsByOccupationalSeriesAndRacialEthnicGroup[[#This Row],[ANHPI Female Employees]]/M$318,"")</f>
        <v>1.3093289689034371E-3</v>
      </c>
      <c r="M220" s="8">
        <v>84</v>
      </c>
      <c r="N220" s="6">
        <v>157456.595238095</v>
      </c>
      <c r="O220" s="52">
        <f>IFERROR(FemalePayGapsByOccupationalSeriesAndRacialEthnicGroup[[#This Row],[ANHPI Female Avg Salary]]/FemalePayGapsByOccupationalSeriesAndRacialEthnicGroup[[#This Row],[White Male Average Salary]],"")</f>
        <v>1.0159490302562399</v>
      </c>
      <c r="P220" s="10">
        <f>IFERROR(FemalePayGapsByOccupationalSeriesAndRacialEthnicGroup[[#This Row],[Black Female Employees]]/Q$318,"")</f>
        <v>6.1782667585485822E-4</v>
      </c>
      <c r="Q220" s="8">
        <v>130</v>
      </c>
      <c r="R220" s="6">
        <v>120218.938461538</v>
      </c>
      <c r="S220" s="52">
        <f>IFERROR(FemalePayGapsByOccupationalSeriesAndRacialEthnicGroup[[#This Row],[Black Female Avg Salary]]/FemalePayGapsByOccupationalSeriesAndRacialEthnicGroup[[#This Row],[White Male Average Salary]],"")</f>
        <v>0.77568242704440549</v>
      </c>
      <c r="T220" s="10" t="str">
        <f>IFERROR(FemalePayGapsByOccupationalSeriesAndRacialEthnicGroup[[#This Row],[Hispanic Latino Female Employees]]/U$318,"")</f>
        <v/>
      </c>
      <c r="U220" s="8" t="s">
        <v>0</v>
      </c>
      <c r="V220" s="6" t="s">
        <v>0</v>
      </c>
      <c r="W22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20" s="10" t="str">
        <f>IFERROR(FemalePayGapsByOccupationalSeriesAndRacialEthnicGroup[[#This Row],[Other Female Employees]]/Y$318,"")</f>
        <v/>
      </c>
      <c r="Y220" s="8" t="s">
        <v>0</v>
      </c>
      <c r="Z220" s="6" t="s">
        <v>0</v>
      </c>
      <c r="AA22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21" spans="1:27" ht="15.6" x14ac:dyDescent="0.3">
      <c r="A221" s="46" t="s">
        <v>230</v>
      </c>
      <c r="B221" s="40">
        <v>1173</v>
      </c>
      <c r="C221" s="41">
        <v>90870.654436860001</v>
      </c>
      <c r="D221" s="70">
        <f>IFERROR(FemalePayGapsByOccupationalSeriesAndRacialEthnicGroup[[#This Row],[White Female Employees]]/E$318,"")</f>
        <v>3.77438674430118E-3</v>
      </c>
      <c r="E221" s="16">
        <v>1723</v>
      </c>
      <c r="F221" s="17">
        <v>81574.600116076996</v>
      </c>
      <c r="G221" s="18">
        <f>IFERROR(FemalePayGapsByOccupationalSeriesAndRacialEthnicGroup[[#This Row],[White Female Avg Salary]]/FemalePayGapsByOccupationalSeriesAndRacialEthnicGroup[[#This Row],[White Male Average Salary]],"")</f>
        <v>0.89770014997259406</v>
      </c>
      <c r="H221" s="10" t="str">
        <f>IFERROR(FemalePayGapsByOccupationalSeriesAndRacialEthnicGroup[[#This Row],[AIAN Female Employees]]/I$318,"")</f>
        <v/>
      </c>
      <c r="I221" t="s">
        <v>0</v>
      </c>
      <c r="J221" s="6" t="s">
        <v>0</v>
      </c>
      <c r="K221" s="52" t="str">
        <f>IFERROR(FemalePayGapsByOccupationalSeriesAndRacialEthnicGroup[[#This Row],[AIAN Female Avg Salary]]/FemalePayGapsByOccupationalSeriesAndRacialEthnicGroup[[#This Row],[White Male Average Salary]],"")</f>
        <v/>
      </c>
      <c r="L221" s="10">
        <f>IFERROR(FemalePayGapsByOccupationalSeriesAndRacialEthnicGroup[[#This Row],[ANHPI Female Employees]]/M$318,"")</f>
        <v>1.1066947237160004E-3</v>
      </c>
      <c r="M221" s="8">
        <v>71</v>
      </c>
      <c r="N221" s="6">
        <v>93091.070422535005</v>
      </c>
      <c r="O221" s="52">
        <f>IFERROR(FemalePayGapsByOccupationalSeriesAndRacialEthnicGroup[[#This Row],[ANHPI Female Avg Salary]]/FemalePayGapsByOccupationalSeriesAndRacialEthnicGroup[[#This Row],[White Male Average Salary]],"")</f>
        <v>1.0244349069502721</v>
      </c>
      <c r="P221" s="10">
        <f>IFERROR(FemalePayGapsByOccupationalSeriesAndRacialEthnicGroup[[#This Row],[Black Female Employees]]/Q$318,"")</f>
        <v>1.6301119216785875E-3</v>
      </c>
      <c r="Q221" s="8">
        <v>343</v>
      </c>
      <c r="R221" s="6">
        <v>87488.851311952996</v>
      </c>
      <c r="S221" s="52">
        <f>IFERROR(FemalePayGapsByOccupationalSeriesAndRacialEthnicGroup[[#This Row],[Black Female Avg Salary]]/FemalePayGapsByOccupationalSeriesAndRacialEthnicGroup[[#This Row],[White Male Average Salary]],"")</f>
        <v>0.96278443083892618</v>
      </c>
      <c r="T221" s="10">
        <f>IFERROR(FemalePayGapsByOccupationalSeriesAndRacialEthnicGroup[[#This Row],[Hispanic Latino Female Employees]]/U$318,"")</f>
        <v>2.3329445092484585E-3</v>
      </c>
      <c r="U221" s="8">
        <v>182</v>
      </c>
      <c r="V221" s="6">
        <v>83385.923076923005</v>
      </c>
      <c r="W221" s="52">
        <f>IFERROR(FemalePayGapsByOccupationalSeriesAndRacialEthnicGroup[[#This Row],[Hispanic Latino Female Avg Salary]]/FemalePayGapsByOccupationalSeriesAndRacialEthnicGroup[[#This Row],[White Male Average Salary]],"")</f>
        <v>0.91763313022976367</v>
      </c>
      <c r="X221" s="10" t="str">
        <f>IFERROR(FemalePayGapsByOccupationalSeriesAndRacialEthnicGroup[[#This Row],[Other Female Employees]]/Y$318,"")</f>
        <v/>
      </c>
      <c r="Y221" s="8" t="s">
        <v>0</v>
      </c>
      <c r="Z221" s="6" t="s">
        <v>0</v>
      </c>
      <c r="AA22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22" spans="1:27" ht="15.6" x14ac:dyDescent="0.3">
      <c r="A222" s="45" t="s">
        <v>231</v>
      </c>
      <c r="B222" s="38">
        <v>754</v>
      </c>
      <c r="C222" s="39">
        <v>95508.484084880998</v>
      </c>
      <c r="D222" s="69">
        <f>IFERROR(FemalePayGapsByOccupationalSeriesAndRacialEthnicGroup[[#This Row],[White Female Employees]]/E$318,"")</f>
        <v>1.3975964845410057E-3</v>
      </c>
      <c r="E222" s="67">
        <v>638</v>
      </c>
      <c r="F222" s="64">
        <v>95426.768025077996</v>
      </c>
      <c r="G222" s="72">
        <f>IFERROR(FemalePayGapsByOccupationalSeriesAndRacialEthnicGroup[[#This Row],[White Female Avg Salary]]/FemalePayGapsByOccupationalSeriesAndRacialEthnicGroup[[#This Row],[White Male Average Salary]],"")</f>
        <v>0.99914441046168867</v>
      </c>
      <c r="H222" s="10" t="str">
        <f>IFERROR(FemalePayGapsByOccupationalSeriesAndRacialEthnicGroup[[#This Row],[AIAN Female Employees]]/I$318,"")</f>
        <v/>
      </c>
      <c r="I222" t="s">
        <v>0</v>
      </c>
      <c r="J222" s="6" t="s">
        <v>0</v>
      </c>
      <c r="K222" s="52" t="str">
        <f>IFERROR(FemalePayGapsByOccupationalSeriesAndRacialEthnicGroup[[#This Row],[AIAN Female Avg Salary]]/FemalePayGapsByOccupationalSeriesAndRacialEthnicGroup[[#This Row],[White Male Average Salary]],"")</f>
        <v/>
      </c>
      <c r="L222" s="10">
        <f>IFERROR(FemalePayGapsByOccupationalSeriesAndRacialEthnicGroup[[#This Row],[ANHPI Female Employees]]/M$318,"")</f>
        <v>1.2469799703842257E-3</v>
      </c>
      <c r="M222" s="8">
        <v>80</v>
      </c>
      <c r="N222" s="6">
        <v>87453.262499999997</v>
      </c>
      <c r="O222" s="52">
        <f>IFERROR(FemalePayGapsByOccupationalSeriesAndRacialEthnicGroup[[#This Row],[ANHPI Female Avg Salary]]/FemalePayGapsByOccupationalSeriesAndRacialEthnicGroup[[#This Row],[White Male Average Salary]],"")</f>
        <v>0.9156596226810374</v>
      </c>
      <c r="P222" s="10">
        <f>IFERROR(FemalePayGapsByOccupationalSeriesAndRacialEthnicGroup[[#This Row],[Black Female Employees]]/Q$318,"")</f>
        <v>2.6994273221966113E-3</v>
      </c>
      <c r="Q222" s="8">
        <v>568</v>
      </c>
      <c r="R222" s="6">
        <v>89299.528169013996</v>
      </c>
      <c r="S222" s="52">
        <f>IFERROR(FemalePayGapsByOccupationalSeriesAndRacialEthnicGroup[[#This Row],[Black Female Avg Salary]]/FemalePayGapsByOccupationalSeriesAndRacialEthnicGroup[[#This Row],[White Male Average Salary]],"")</f>
        <v>0.93499053015699707</v>
      </c>
      <c r="T222" s="10">
        <f>IFERROR(FemalePayGapsByOccupationalSeriesAndRacialEthnicGroup[[#This Row],[Hispanic Latino Female Employees]]/U$318,"")</f>
        <v>2.9610449540461207E-3</v>
      </c>
      <c r="U222" s="8">
        <v>231</v>
      </c>
      <c r="V222" s="6">
        <v>93433.402597402994</v>
      </c>
      <c r="W222" s="52">
        <f>IFERROR(FemalePayGapsByOccupationalSeriesAndRacialEthnicGroup[[#This Row],[Hispanic Latino Female Avg Salary]]/FemalePayGapsByOccupationalSeriesAndRacialEthnicGroup[[#This Row],[White Male Average Salary]],"")</f>
        <v>0.97827332820366175</v>
      </c>
      <c r="X222" s="10" t="str">
        <f>IFERROR(FemalePayGapsByOccupationalSeriesAndRacialEthnicGroup[[#This Row],[Other Female Employees]]/Y$318,"")</f>
        <v/>
      </c>
      <c r="Y222" s="8" t="s">
        <v>0</v>
      </c>
      <c r="Z222" s="6" t="s">
        <v>0</v>
      </c>
      <c r="AA22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23" spans="1:27" ht="15.6" x14ac:dyDescent="0.3">
      <c r="A223" s="46" t="s">
        <v>232</v>
      </c>
      <c r="B223" s="40">
        <v>1138</v>
      </c>
      <c r="C223" s="41">
        <v>98503.922671352993</v>
      </c>
      <c r="D223" s="70">
        <f>IFERROR(FemalePayGapsByOccupationalSeriesAndRacialEthnicGroup[[#This Row],[White Female Employees]]/E$318,"")</f>
        <v>2.3789808498613355E-3</v>
      </c>
      <c r="E223" s="16">
        <v>1086</v>
      </c>
      <c r="F223" s="17">
        <v>92746.359116021995</v>
      </c>
      <c r="G223" s="18">
        <f>IFERROR(FemalePayGapsByOccupationalSeriesAndRacialEthnicGroup[[#This Row],[White Female Avg Salary]]/FemalePayGapsByOccupationalSeriesAndRacialEthnicGroup[[#This Row],[White Male Average Salary]],"")</f>
        <v>0.94154990583938014</v>
      </c>
      <c r="H223" s="10">
        <f>IFERROR(FemalePayGapsByOccupationalSeriesAndRacialEthnicGroup[[#This Row],[AIAN Female Employees]]/I$318,"")</f>
        <v>1.3920972644376899E-2</v>
      </c>
      <c r="I223">
        <v>229</v>
      </c>
      <c r="J223" s="6">
        <v>79872.506550217993</v>
      </c>
      <c r="K223" s="52">
        <f>IFERROR(FemalePayGapsByOccupationalSeriesAndRacialEthnicGroup[[#This Row],[AIAN Female Avg Salary]]/FemalePayGapsByOccupationalSeriesAndRacialEthnicGroup[[#This Row],[White Male Average Salary]],"")</f>
        <v>0.81085609977892381</v>
      </c>
      <c r="L223" s="10">
        <f>IFERROR(FemalePayGapsByOccupationalSeriesAndRacialEthnicGroup[[#This Row],[ANHPI Female Employees]]/M$318,"")</f>
        <v>1.2313927207544229E-3</v>
      </c>
      <c r="M223" s="8">
        <v>79</v>
      </c>
      <c r="N223" s="6">
        <v>100230.17721518999</v>
      </c>
      <c r="O223" s="52">
        <f>IFERROR(FemalePayGapsByOccupationalSeriesAndRacialEthnicGroup[[#This Row],[ANHPI Female Avg Salary]]/FemalePayGapsByOccupationalSeriesAndRacialEthnicGroup[[#This Row],[White Male Average Salary]],"")</f>
        <v>1.0175247289348714</v>
      </c>
      <c r="P223" s="10">
        <f>IFERROR(FemalePayGapsByOccupationalSeriesAndRacialEthnicGroup[[#This Row],[Black Female Employees]]/Q$318,"")</f>
        <v>1.330703609533541E-3</v>
      </c>
      <c r="Q223" s="8">
        <v>280</v>
      </c>
      <c r="R223" s="6">
        <v>102660.24285714301</v>
      </c>
      <c r="S223" s="52">
        <f>IFERROR(FemalePayGapsByOccupationalSeriesAndRacialEthnicGroup[[#This Row],[Black Female Avg Salary]]/FemalePayGapsByOccupationalSeriesAndRacialEthnicGroup[[#This Row],[White Male Average Salary]],"")</f>
        <v>1.0421944636627021</v>
      </c>
      <c r="T223" s="10">
        <f>IFERROR(FemalePayGapsByOccupationalSeriesAndRacialEthnicGroup[[#This Row],[Hispanic Latino Female Employees]]/U$318,"")</f>
        <v>1.9996667222129645E-3</v>
      </c>
      <c r="U223" s="8">
        <v>156</v>
      </c>
      <c r="V223" s="6">
        <v>92230.339743589997</v>
      </c>
      <c r="W223" s="52">
        <f>IFERROR(FemalePayGapsByOccupationalSeriesAndRacialEthnicGroup[[#This Row],[Hispanic Latino Female Avg Salary]]/FemalePayGapsByOccupationalSeriesAndRacialEthnicGroup[[#This Row],[White Male Average Salary]],"")</f>
        <v>0.93631133910581321</v>
      </c>
      <c r="X223" s="10">
        <f>IFERROR(FemalePayGapsByOccupationalSeriesAndRacialEthnicGroup[[#This Row],[Other Female Employees]]/Y$318,"")</f>
        <v>3.5046068622463398E-3</v>
      </c>
      <c r="Y223" s="8">
        <v>62</v>
      </c>
      <c r="Z223" s="6">
        <v>89568.919354839003</v>
      </c>
      <c r="AA223" s="1">
        <f>IFERROR(FemalePayGapsByOccupationalSeriesAndRacialEthnicGroup[[#This Row],[Other Female Avg Salary]]/FemalePayGapsByOccupationalSeriesAndRacialEthnicGroup[[#This Row],[White Male Average Salary]],"")</f>
        <v>0.90929291875690477</v>
      </c>
    </row>
    <row r="224" spans="1:27" ht="15.6" x14ac:dyDescent="0.3">
      <c r="A224" s="45" t="s">
        <v>233</v>
      </c>
      <c r="B224" s="38">
        <v>369</v>
      </c>
      <c r="C224" s="39">
        <v>117435.84823848199</v>
      </c>
      <c r="D224" s="69">
        <f>IFERROR(FemalePayGapsByOccupationalSeriesAndRacialEthnicGroup[[#This Row],[White Female Employees]]/E$318,"")</f>
        <v>2.7163317254401989E-4</v>
      </c>
      <c r="E224" s="67">
        <v>124</v>
      </c>
      <c r="F224" s="64">
        <v>109465.620967742</v>
      </c>
      <c r="G224" s="72">
        <f>IFERROR(FemalePayGapsByOccupationalSeriesAndRacialEthnicGroup[[#This Row],[White Female Avg Salary]]/FemalePayGapsByOccupationalSeriesAndRacialEthnicGroup[[#This Row],[White Male Average Salary]],"")</f>
        <v>0.93213122406580218</v>
      </c>
      <c r="H224" s="10" t="str">
        <f>IFERROR(FemalePayGapsByOccupationalSeriesAndRacialEthnicGroup[[#This Row],[AIAN Female Employees]]/I$318,"")</f>
        <v/>
      </c>
      <c r="I224" t="s">
        <v>0</v>
      </c>
      <c r="J224" s="6" t="s">
        <v>0</v>
      </c>
      <c r="K224" s="52" t="str">
        <f>IFERROR(FemalePayGapsByOccupationalSeriesAndRacialEthnicGroup[[#This Row],[AIAN Female Avg Salary]]/FemalePayGapsByOccupationalSeriesAndRacialEthnicGroup[[#This Row],[White Male Average Salary]],"")</f>
        <v/>
      </c>
      <c r="L224" s="10" t="str">
        <f>IFERROR(FemalePayGapsByOccupationalSeriesAndRacialEthnicGroup[[#This Row],[ANHPI Female Employees]]/M$318,"")</f>
        <v/>
      </c>
      <c r="M224" s="8" t="s">
        <v>0</v>
      </c>
      <c r="N224" s="6" t="s">
        <v>0</v>
      </c>
      <c r="O224" s="52" t="str">
        <f>IFERROR(FemalePayGapsByOccupationalSeriesAndRacialEthnicGroup[[#This Row],[ANHPI Female Avg Salary]]/FemalePayGapsByOccupationalSeriesAndRacialEthnicGroup[[#This Row],[White Male Average Salary]],"")</f>
        <v/>
      </c>
      <c r="P224" s="10" t="str">
        <f>IFERROR(FemalePayGapsByOccupationalSeriesAndRacialEthnicGroup[[#This Row],[Black Female Employees]]/Q$318,"")</f>
        <v/>
      </c>
      <c r="Q224" s="8" t="s">
        <v>0</v>
      </c>
      <c r="R224" s="6" t="s">
        <v>0</v>
      </c>
      <c r="S224" s="52" t="str">
        <f>IFERROR(FemalePayGapsByOccupationalSeriesAndRacialEthnicGroup[[#This Row],[Black Female Avg Salary]]/FemalePayGapsByOccupationalSeriesAndRacialEthnicGroup[[#This Row],[White Male Average Salary]],"")</f>
        <v/>
      </c>
      <c r="T224" s="10" t="str">
        <f>IFERROR(FemalePayGapsByOccupationalSeriesAndRacialEthnicGroup[[#This Row],[Hispanic Latino Female Employees]]/U$318,"")</f>
        <v/>
      </c>
      <c r="U224" s="8" t="s">
        <v>0</v>
      </c>
      <c r="V224" s="6" t="s">
        <v>0</v>
      </c>
      <c r="W22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24" s="10" t="str">
        <f>IFERROR(FemalePayGapsByOccupationalSeriesAndRacialEthnicGroup[[#This Row],[Other Female Employees]]/Y$318,"")</f>
        <v/>
      </c>
      <c r="Y224" s="8" t="s">
        <v>0</v>
      </c>
      <c r="Z224" s="6" t="s">
        <v>0</v>
      </c>
      <c r="AA22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25" spans="1:27" ht="15.6" x14ac:dyDescent="0.3">
      <c r="A225" s="46" t="s">
        <v>234</v>
      </c>
      <c r="B225" s="40">
        <v>447</v>
      </c>
      <c r="C225" s="41">
        <v>74910</v>
      </c>
      <c r="D225" s="70">
        <f>IFERROR(FemalePayGapsByOccupationalSeriesAndRacialEthnicGroup[[#This Row],[White Female Employees]]/E$318,"")</f>
        <v>9.9890908612962153E-4</v>
      </c>
      <c r="E225" s="16">
        <v>456</v>
      </c>
      <c r="F225" s="17">
        <v>67982.864035088001</v>
      </c>
      <c r="G225" s="18">
        <f>IFERROR(FemalePayGapsByOccupationalSeriesAndRacialEthnicGroup[[#This Row],[White Female Avg Salary]]/FemalePayGapsByOccupationalSeriesAndRacialEthnicGroup[[#This Row],[White Male Average Salary]],"")</f>
        <v>0.90752721979826456</v>
      </c>
      <c r="H225" s="10" t="str">
        <f>IFERROR(FemalePayGapsByOccupationalSeriesAndRacialEthnicGroup[[#This Row],[AIAN Female Employees]]/I$318,"")</f>
        <v/>
      </c>
      <c r="I225" t="s">
        <v>0</v>
      </c>
      <c r="J225" s="6" t="s">
        <v>0</v>
      </c>
      <c r="K225" s="52" t="str">
        <f>IFERROR(FemalePayGapsByOccupationalSeriesAndRacialEthnicGroup[[#This Row],[AIAN Female Avg Salary]]/FemalePayGapsByOccupationalSeriesAndRacialEthnicGroup[[#This Row],[White Male Average Salary]],"")</f>
        <v/>
      </c>
      <c r="L225" s="10">
        <f>IFERROR(FemalePayGapsByOccupationalSeriesAndRacialEthnicGroup[[#This Row],[ANHPI Female Employees]]/M$318,"")</f>
        <v>1.4496142155716624E-3</v>
      </c>
      <c r="M225" s="8">
        <v>93</v>
      </c>
      <c r="N225" s="6">
        <v>63025.580645160997</v>
      </c>
      <c r="O225" s="52">
        <f>IFERROR(FemalePayGapsByOccupationalSeriesAndRacialEthnicGroup[[#This Row],[ANHPI Female Avg Salary]]/FemalePayGapsByOccupationalSeriesAndRacialEthnicGroup[[#This Row],[White Male Average Salary]],"")</f>
        <v>0.84135069610413826</v>
      </c>
      <c r="P225" s="10">
        <f>IFERROR(FemalePayGapsByOccupationalSeriesAndRacialEthnicGroup[[#This Row],[Black Female Employees]]/Q$318,"")</f>
        <v>1.0170377587149205E-3</v>
      </c>
      <c r="Q225" s="8">
        <v>214</v>
      </c>
      <c r="R225" s="6">
        <v>70810.149532709998</v>
      </c>
      <c r="S225" s="52">
        <f>IFERROR(FemalePayGapsByOccupationalSeriesAndRacialEthnicGroup[[#This Row],[Black Female Avg Salary]]/FemalePayGapsByOccupationalSeriesAndRacialEthnicGroup[[#This Row],[White Male Average Salary]],"")</f>
        <v>0.94526965068362034</v>
      </c>
      <c r="T225" s="10">
        <f>IFERROR(FemalePayGapsByOccupationalSeriesAndRacialEthnicGroup[[#This Row],[Hispanic Latino Female Employees]]/U$318,"")</f>
        <v>1.2049273838975556E-3</v>
      </c>
      <c r="U225" s="8">
        <v>94</v>
      </c>
      <c r="V225" s="6">
        <v>70328.212765956996</v>
      </c>
      <c r="W225" s="52">
        <f>IFERROR(FemalePayGapsByOccupationalSeriesAndRacialEthnicGroup[[#This Row],[Hispanic Latino Female Avg Salary]]/FemalePayGapsByOccupationalSeriesAndRacialEthnicGroup[[#This Row],[White Male Average Salary]],"")</f>
        <v>0.93883610687434249</v>
      </c>
      <c r="X225" s="10" t="str">
        <f>IFERROR(FemalePayGapsByOccupationalSeriesAndRacialEthnicGroup[[#This Row],[Other Female Employees]]/Y$318,"")</f>
        <v/>
      </c>
      <c r="Y225" s="8" t="s">
        <v>0</v>
      </c>
      <c r="Z225" s="6" t="s">
        <v>0</v>
      </c>
      <c r="AA22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26" spans="1:27" ht="15.6" x14ac:dyDescent="0.3">
      <c r="A226" s="45" t="s">
        <v>235</v>
      </c>
      <c r="B226" s="38">
        <v>608</v>
      </c>
      <c r="C226" s="39">
        <v>102949.445723684</v>
      </c>
      <c r="D226" s="69">
        <f>IFERROR(FemalePayGapsByOccupationalSeriesAndRacialEthnicGroup[[#This Row],[White Female Employees]]/E$318,"")</f>
        <v>3.132543844660875E-4</v>
      </c>
      <c r="E226" s="67">
        <v>143</v>
      </c>
      <c r="F226" s="64">
        <v>103456.685314685</v>
      </c>
      <c r="G226" s="72">
        <f>IFERROR(FemalePayGapsByOccupationalSeriesAndRacialEthnicGroup[[#This Row],[White Female Avg Salary]]/FemalePayGapsByOccupationalSeriesAndRacialEthnicGroup[[#This Row],[White Male Average Salary]],"")</f>
        <v>1.0049270745212406</v>
      </c>
      <c r="H226" s="10" t="str">
        <f>IFERROR(FemalePayGapsByOccupationalSeriesAndRacialEthnicGroup[[#This Row],[AIAN Female Employees]]/I$318,"")</f>
        <v/>
      </c>
      <c r="I226" t="s">
        <v>0</v>
      </c>
      <c r="J226" s="6" t="s">
        <v>0</v>
      </c>
      <c r="K226" s="52" t="str">
        <f>IFERROR(FemalePayGapsByOccupationalSeriesAndRacialEthnicGroup[[#This Row],[AIAN Female Avg Salary]]/FemalePayGapsByOccupationalSeriesAndRacialEthnicGroup[[#This Row],[White Male Average Salary]],"")</f>
        <v/>
      </c>
      <c r="L226" s="10" t="str">
        <f>IFERROR(FemalePayGapsByOccupationalSeriesAndRacialEthnicGroup[[#This Row],[ANHPI Female Employees]]/M$318,"")</f>
        <v/>
      </c>
      <c r="M226" s="8" t="s">
        <v>0</v>
      </c>
      <c r="N226" s="6" t="s">
        <v>0</v>
      </c>
      <c r="O226" s="52" t="str">
        <f>IFERROR(FemalePayGapsByOccupationalSeriesAndRacialEthnicGroup[[#This Row],[ANHPI Female Avg Salary]]/FemalePayGapsByOccupationalSeriesAndRacialEthnicGroup[[#This Row],[White Male Average Salary]],"")</f>
        <v/>
      </c>
      <c r="P226" s="10">
        <f>IFERROR(FemalePayGapsByOccupationalSeriesAndRacialEthnicGroup[[#This Row],[Black Female Employees]]/Q$318,"")</f>
        <v>7.0812442078749141E-4</v>
      </c>
      <c r="Q226" s="8">
        <v>149</v>
      </c>
      <c r="R226" s="6">
        <v>98212.912751677999</v>
      </c>
      <c r="S226" s="52">
        <f>IFERROR(FemalePayGapsByOccupationalSeriesAndRacialEthnicGroup[[#This Row],[Black Female Avg Salary]]/FemalePayGapsByOccupationalSeriesAndRacialEthnicGroup[[#This Row],[White Male Average Salary]],"")</f>
        <v>0.95399166125946089</v>
      </c>
      <c r="T226" s="10">
        <f>IFERROR(FemalePayGapsByOccupationalSeriesAndRacialEthnicGroup[[#This Row],[Hispanic Latino Female Employees]]/U$318,"")</f>
        <v>4.3582479843103073E-4</v>
      </c>
      <c r="U226" s="8">
        <v>34</v>
      </c>
      <c r="V226" s="6">
        <v>99504.205882352995</v>
      </c>
      <c r="W226" s="52">
        <f>IFERROR(FemalePayGapsByOccupationalSeriesAndRacialEthnicGroup[[#This Row],[Hispanic Latino Female Avg Salary]]/FemalePayGapsByOccupationalSeriesAndRacialEthnicGroup[[#This Row],[White Male Average Salary]],"")</f>
        <v>0.96653464409533574</v>
      </c>
      <c r="X226" s="10" t="str">
        <f>IFERROR(FemalePayGapsByOccupationalSeriesAndRacialEthnicGroup[[#This Row],[Other Female Employees]]/Y$318,"")</f>
        <v/>
      </c>
      <c r="Y226" s="8" t="s">
        <v>0</v>
      </c>
      <c r="Z226" s="6" t="s">
        <v>0</v>
      </c>
      <c r="AA22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27" spans="1:27" ht="15.6" x14ac:dyDescent="0.3">
      <c r="A227" s="46" t="s">
        <v>236</v>
      </c>
      <c r="B227" s="40">
        <v>195</v>
      </c>
      <c r="C227" s="41">
        <v>174913.84615384601</v>
      </c>
      <c r="D227" s="70">
        <f>IFERROR(FemalePayGapsByOccupationalSeriesAndRacialEthnicGroup[[#This Row],[White Female Employees]]/E$318,"")</f>
        <v>1.7962838829523896E-4</v>
      </c>
      <c r="E227" s="16">
        <v>82</v>
      </c>
      <c r="F227" s="17">
        <v>175249.317073171</v>
      </c>
      <c r="G227" s="18">
        <f>IFERROR(FemalePayGapsByOccupationalSeriesAndRacialEthnicGroup[[#This Row],[White Female Avg Salary]]/FemalePayGapsByOccupationalSeriesAndRacialEthnicGroup[[#This Row],[White Male Average Salary]],"")</f>
        <v>1.0019179208890641</v>
      </c>
      <c r="H227" s="10" t="str">
        <f>IFERROR(FemalePayGapsByOccupationalSeriesAndRacialEthnicGroup[[#This Row],[AIAN Female Employees]]/I$318,"")</f>
        <v/>
      </c>
      <c r="I227" t="s">
        <v>0</v>
      </c>
      <c r="J227" s="6" t="s">
        <v>0</v>
      </c>
      <c r="K227" s="52" t="str">
        <f>IFERROR(FemalePayGapsByOccupationalSeriesAndRacialEthnicGroup[[#This Row],[AIAN Female Avg Salary]]/FemalePayGapsByOccupationalSeriesAndRacialEthnicGroup[[#This Row],[White Male Average Salary]],"")</f>
        <v/>
      </c>
      <c r="L227" s="10" t="str">
        <f>IFERROR(FemalePayGapsByOccupationalSeriesAndRacialEthnicGroup[[#This Row],[ANHPI Female Employees]]/M$318,"")</f>
        <v/>
      </c>
      <c r="M227" s="8" t="s">
        <v>0</v>
      </c>
      <c r="N227" s="6" t="s">
        <v>0</v>
      </c>
      <c r="O227" s="52" t="str">
        <f>IFERROR(FemalePayGapsByOccupationalSeriesAndRacialEthnicGroup[[#This Row],[ANHPI Female Avg Salary]]/FemalePayGapsByOccupationalSeriesAndRacialEthnicGroup[[#This Row],[White Male Average Salary]],"")</f>
        <v/>
      </c>
      <c r="P227" s="10" t="str">
        <f>IFERROR(FemalePayGapsByOccupationalSeriesAndRacialEthnicGroup[[#This Row],[Black Female Employees]]/Q$318,"")</f>
        <v/>
      </c>
      <c r="Q227" s="8" t="s">
        <v>0</v>
      </c>
      <c r="R227" s="6" t="s">
        <v>0</v>
      </c>
      <c r="S227" s="52" t="str">
        <f>IFERROR(FemalePayGapsByOccupationalSeriesAndRacialEthnicGroup[[#This Row],[Black Female Avg Salary]]/FemalePayGapsByOccupationalSeriesAndRacialEthnicGroup[[#This Row],[White Male Average Salary]],"")</f>
        <v/>
      </c>
      <c r="T227" s="10" t="str">
        <f>IFERROR(FemalePayGapsByOccupationalSeriesAndRacialEthnicGroup[[#This Row],[Hispanic Latino Female Employees]]/U$318,"")</f>
        <v/>
      </c>
      <c r="U227" s="8" t="s">
        <v>0</v>
      </c>
      <c r="V227" s="6" t="s">
        <v>0</v>
      </c>
      <c r="W22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27" s="10" t="str">
        <f>IFERROR(FemalePayGapsByOccupationalSeriesAndRacialEthnicGroup[[#This Row],[Other Female Employees]]/Y$318,"")</f>
        <v/>
      </c>
      <c r="Y227" s="8" t="s">
        <v>0</v>
      </c>
      <c r="Z227" s="6" t="s">
        <v>0</v>
      </c>
      <c r="AA22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28" spans="1:27" ht="15.6" x14ac:dyDescent="0.3">
      <c r="A228" s="45" t="s">
        <v>237</v>
      </c>
      <c r="B228" s="38">
        <v>256</v>
      </c>
      <c r="C228" s="39">
        <v>176384.4375</v>
      </c>
      <c r="D228" s="69">
        <f>IFERROR(FemalePayGapsByOccupationalSeriesAndRacialEthnicGroup[[#This Row],[White Female Employees]]/E$318,"")</f>
        <v>2.1905901011614508E-4</v>
      </c>
      <c r="E228" s="67">
        <v>100</v>
      </c>
      <c r="F228" s="64">
        <v>179425.01</v>
      </c>
      <c r="G228" s="72">
        <f>IFERROR(FemalePayGapsByOccupationalSeriesAndRacialEthnicGroup[[#This Row],[White Female Avg Salary]]/FemalePayGapsByOccupationalSeriesAndRacialEthnicGroup[[#This Row],[White Male Average Salary]],"")</f>
        <v>1.0172383263687876</v>
      </c>
      <c r="H228" s="10" t="str">
        <f>IFERROR(FemalePayGapsByOccupationalSeriesAndRacialEthnicGroup[[#This Row],[AIAN Female Employees]]/I$318,"")</f>
        <v/>
      </c>
      <c r="I228" t="s">
        <v>0</v>
      </c>
      <c r="J228" s="6" t="s">
        <v>0</v>
      </c>
      <c r="K228" s="52" t="str">
        <f>IFERROR(FemalePayGapsByOccupationalSeriesAndRacialEthnicGroup[[#This Row],[AIAN Female Avg Salary]]/FemalePayGapsByOccupationalSeriesAndRacialEthnicGroup[[#This Row],[White Male Average Salary]],"")</f>
        <v/>
      </c>
      <c r="L228" s="10" t="str">
        <f>IFERROR(FemalePayGapsByOccupationalSeriesAndRacialEthnicGroup[[#This Row],[ANHPI Female Employees]]/M$318,"")</f>
        <v/>
      </c>
      <c r="M228" s="8" t="s">
        <v>0</v>
      </c>
      <c r="N228" s="6" t="s">
        <v>0</v>
      </c>
      <c r="O228" s="52" t="str">
        <f>IFERROR(FemalePayGapsByOccupationalSeriesAndRacialEthnicGroup[[#This Row],[ANHPI Female Avg Salary]]/FemalePayGapsByOccupationalSeriesAndRacialEthnicGroup[[#This Row],[White Male Average Salary]],"")</f>
        <v/>
      </c>
      <c r="P228" s="10" t="str">
        <f>IFERROR(FemalePayGapsByOccupationalSeriesAndRacialEthnicGroup[[#This Row],[Black Female Employees]]/Q$318,"")</f>
        <v/>
      </c>
      <c r="Q228" s="8" t="s">
        <v>0</v>
      </c>
      <c r="R228" s="6" t="s">
        <v>0</v>
      </c>
      <c r="S228" s="52" t="str">
        <f>IFERROR(FemalePayGapsByOccupationalSeriesAndRacialEthnicGroup[[#This Row],[Black Female Avg Salary]]/FemalePayGapsByOccupationalSeriesAndRacialEthnicGroup[[#This Row],[White Male Average Salary]],"")</f>
        <v/>
      </c>
      <c r="T228" s="10" t="str">
        <f>IFERROR(FemalePayGapsByOccupationalSeriesAndRacialEthnicGroup[[#This Row],[Hispanic Latino Female Employees]]/U$318,"")</f>
        <v/>
      </c>
      <c r="U228" s="8" t="s">
        <v>0</v>
      </c>
      <c r="V228" s="6" t="s">
        <v>0</v>
      </c>
      <c r="W22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28" s="10" t="str">
        <f>IFERROR(FemalePayGapsByOccupationalSeriesAndRacialEthnicGroup[[#This Row],[Other Female Employees]]/Y$318,"")</f>
        <v/>
      </c>
      <c r="Y228" s="8" t="s">
        <v>0</v>
      </c>
      <c r="Z228" s="6" t="s">
        <v>0</v>
      </c>
      <c r="AA22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29" spans="1:27" ht="15.6" x14ac:dyDescent="0.3">
      <c r="A229" s="46" t="s">
        <v>238</v>
      </c>
      <c r="B229" s="40">
        <v>2906</v>
      </c>
      <c r="C229" s="41">
        <v>136646.73262216101</v>
      </c>
      <c r="D229" s="70">
        <f>IFERROR(FemalePayGapsByOccupationalSeriesAndRacialEthnicGroup[[#This Row],[White Female Employees]]/E$318,"")</f>
        <v>2.0065805326638891E-3</v>
      </c>
      <c r="E229" s="16">
        <v>916</v>
      </c>
      <c r="F229" s="17">
        <v>131315.033842795</v>
      </c>
      <c r="G229" s="18">
        <f>IFERROR(FemalePayGapsByOccupationalSeriesAndRacialEthnicGroup[[#This Row],[White Female Avg Salary]]/FemalePayGapsByOccupationalSeriesAndRacialEthnicGroup[[#This Row],[White Male Average Salary]],"")</f>
        <v>0.96098187876830854</v>
      </c>
      <c r="H229" s="10" t="str">
        <f>IFERROR(FemalePayGapsByOccupationalSeriesAndRacialEthnicGroup[[#This Row],[AIAN Female Employees]]/I$318,"")</f>
        <v/>
      </c>
      <c r="I229" t="s">
        <v>0</v>
      </c>
      <c r="J229" s="6" t="s">
        <v>0</v>
      </c>
      <c r="K229" s="52" t="str">
        <f>IFERROR(FemalePayGapsByOccupationalSeriesAndRacialEthnicGroup[[#This Row],[AIAN Female Avg Salary]]/FemalePayGapsByOccupationalSeriesAndRacialEthnicGroup[[#This Row],[White Male Average Salary]],"")</f>
        <v/>
      </c>
      <c r="L229" s="10">
        <f>IFERROR(FemalePayGapsByOccupationalSeriesAndRacialEthnicGroup[[#This Row],[ANHPI Female Employees]]/M$318,"")</f>
        <v>1.1534564726054087E-2</v>
      </c>
      <c r="M229" s="8">
        <v>740</v>
      </c>
      <c r="N229" s="6">
        <v>134292.06486486501</v>
      </c>
      <c r="O229" s="52">
        <f>IFERROR(FemalePayGapsByOccupationalSeriesAndRacialEthnicGroup[[#This Row],[ANHPI Female Avg Salary]]/FemalePayGapsByOccupationalSeriesAndRacialEthnicGroup[[#This Row],[White Male Average Salary]],"")</f>
        <v>0.9827682103178651</v>
      </c>
      <c r="P229" s="10">
        <f>IFERROR(FemalePayGapsByOccupationalSeriesAndRacialEthnicGroup[[#This Row],[Black Female Employees]]/Q$318,"")</f>
        <v>1.8629850533469572E-3</v>
      </c>
      <c r="Q229" s="8">
        <v>392</v>
      </c>
      <c r="R229" s="6">
        <v>135477.57653061199</v>
      </c>
      <c r="S229" s="52">
        <f>IFERROR(FemalePayGapsByOccupationalSeriesAndRacialEthnicGroup[[#This Row],[Black Female Avg Salary]]/FemalePayGapsByOccupationalSeriesAndRacialEthnicGroup[[#This Row],[White Male Average Salary]],"")</f>
        <v>0.99144395135460839</v>
      </c>
      <c r="T229" s="10">
        <f>IFERROR(FemalePayGapsByOccupationalSeriesAndRacialEthnicGroup[[#This Row],[Hispanic Latino Female Employees]]/U$318,"")</f>
        <v>1.3843846538397447E-3</v>
      </c>
      <c r="U229" s="8">
        <v>108</v>
      </c>
      <c r="V229" s="6">
        <v>131287.601851852</v>
      </c>
      <c r="W229" s="52">
        <f>IFERROR(FemalePayGapsByOccupationalSeriesAndRacialEthnicGroup[[#This Row],[Hispanic Latino Female Avg Salary]]/FemalePayGapsByOccupationalSeriesAndRacialEthnicGroup[[#This Row],[White Male Average Salary]],"")</f>
        <v>0.96078112760202306</v>
      </c>
      <c r="X229" s="10">
        <f>IFERROR(FemalePayGapsByOccupationalSeriesAndRacialEthnicGroup[[#This Row],[Other Female Employees]]/Y$318,"")</f>
        <v>2.7697699395172687E-3</v>
      </c>
      <c r="Y229" s="8">
        <v>49</v>
      </c>
      <c r="Z229" s="6">
        <v>115923.346938776</v>
      </c>
      <c r="AA229" s="1">
        <f>IFERROR(FemalePayGapsByOccupationalSeriesAndRacialEthnicGroup[[#This Row],[Other Female Avg Salary]]/FemalePayGapsByOccupationalSeriesAndRacialEthnicGroup[[#This Row],[White Male Average Salary]],"")</f>
        <v>0.84834335014297924</v>
      </c>
    </row>
    <row r="230" spans="1:27" ht="15.6" x14ac:dyDescent="0.3">
      <c r="A230" s="45" t="s">
        <v>239</v>
      </c>
      <c r="B230" s="38">
        <v>66</v>
      </c>
      <c r="C230" s="39">
        <v>111866.060606061</v>
      </c>
      <c r="D230" s="69">
        <f>IFERROR(FemalePayGapsByOccupationalSeriesAndRacialEthnicGroup[[#This Row],[White Female Employees]]/E$318,"")</f>
        <v>2.6068022203821264E-4</v>
      </c>
      <c r="E230" s="67">
        <v>119</v>
      </c>
      <c r="F230" s="64">
        <v>108688.336134454</v>
      </c>
      <c r="G230" s="72">
        <f>IFERROR(FemalePayGapsByOccupationalSeriesAndRacialEthnicGroup[[#This Row],[White Female Avg Salary]]/FemalePayGapsByOccupationalSeriesAndRacialEthnicGroup[[#This Row],[White Male Average Salary]],"")</f>
        <v>0.97159348908515308</v>
      </c>
      <c r="H230" s="10" t="str">
        <f>IFERROR(FemalePayGapsByOccupationalSeriesAndRacialEthnicGroup[[#This Row],[AIAN Female Employees]]/I$318,"")</f>
        <v/>
      </c>
      <c r="I230" t="s">
        <v>0</v>
      </c>
      <c r="J230" s="6" t="s">
        <v>0</v>
      </c>
      <c r="K230" s="52" t="str">
        <f>IFERROR(FemalePayGapsByOccupationalSeriesAndRacialEthnicGroup[[#This Row],[AIAN Female Avg Salary]]/FemalePayGapsByOccupationalSeriesAndRacialEthnicGroup[[#This Row],[White Male Average Salary]],"")</f>
        <v/>
      </c>
      <c r="L230" s="10" t="str">
        <f>IFERROR(FemalePayGapsByOccupationalSeriesAndRacialEthnicGroup[[#This Row],[ANHPI Female Employees]]/M$318,"")</f>
        <v/>
      </c>
      <c r="M230" s="8" t="s">
        <v>0</v>
      </c>
      <c r="N230" s="6" t="s">
        <v>0</v>
      </c>
      <c r="O230" s="52" t="str">
        <f>IFERROR(FemalePayGapsByOccupationalSeriesAndRacialEthnicGroup[[#This Row],[ANHPI Female Avg Salary]]/FemalePayGapsByOccupationalSeriesAndRacialEthnicGroup[[#This Row],[White Male Average Salary]],"")</f>
        <v/>
      </c>
      <c r="P230" s="10" t="str">
        <f>IFERROR(FemalePayGapsByOccupationalSeriesAndRacialEthnicGroup[[#This Row],[Black Female Employees]]/Q$318,"")</f>
        <v/>
      </c>
      <c r="Q230" s="8" t="s">
        <v>0</v>
      </c>
      <c r="R230" s="6" t="s">
        <v>0</v>
      </c>
      <c r="S230" s="52" t="str">
        <f>IFERROR(FemalePayGapsByOccupationalSeriesAndRacialEthnicGroup[[#This Row],[Black Female Avg Salary]]/FemalePayGapsByOccupationalSeriesAndRacialEthnicGroup[[#This Row],[White Male Average Salary]],"")</f>
        <v/>
      </c>
      <c r="T230" s="10" t="str">
        <f>IFERROR(FemalePayGapsByOccupationalSeriesAndRacialEthnicGroup[[#This Row],[Hispanic Latino Female Employees]]/U$318,"")</f>
        <v/>
      </c>
      <c r="U230" s="8" t="s">
        <v>0</v>
      </c>
      <c r="V230" s="6" t="s">
        <v>0</v>
      </c>
      <c r="W23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30" s="10" t="str">
        <f>IFERROR(FemalePayGapsByOccupationalSeriesAndRacialEthnicGroup[[#This Row],[Other Female Employees]]/Y$318,"")</f>
        <v/>
      </c>
      <c r="Y230" s="8" t="s">
        <v>0</v>
      </c>
      <c r="Z230" s="6" t="s">
        <v>0</v>
      </c>
      <c r="AA23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31" spans="1:27" ht="15.6" x14ac:dyDescent="0.3">
      <c r="A231" s="46" t="s">
        <v>240</v>
      </c>
      <c r="B231" s="40">
        <v>4165</v>
      </c>
      <c r="C231" s="41">
        <v>130257.743035543</v>
      </c>
      <c r="D231" s="70">
        <f>IFERROR(FemalePayGapsByOccupationalSeriesAndRacialEthnicGroup[[#This Row],[White Female Employees]]/E$318,"")</f>
        <v>5.5881953480628613E-3</v>
      </c>
      <c r="E231" s="16">
        <v>2551</v>
      </c>
      <c r="F231" s="17">
        <v>120473.877303018</v>
      </c>
      <c r="G231" s="18">
        <f>IFERROR(FemalePayGapsByOccupationalSeriesAndRacialEthnicGroup[[#This Row],[White Female Avg Salary]]/FemalePayGapsByOccupationalSeriesAndRacialEthnicGroup[[#This Row],[White Male Average Salary]],"")</f>
        <v>0.92488841350601858</v>
      </c>
      <c r="H231" s="10" t="str">
        <f>IFERROR(FemalePayGapsByOccupationalSeriesAndRacialEthnicGroup[[#This Row],[AIAN Female Employees]]/I$318,"")</f>
        <v/>
      </c>
      <c r="I231" t="s">
        <v>0</v>
      </c>
      <c r="J231" s="6" t="s">
        <v>0</v>
      </c>
      <c r="K231" s="52" t="str">
        <f>IFERROR(FemalePayGapsByOccupationalSeriesAndRacialEthnicGroup[[#This Row],[AIAN Female Avg Salary]]/FemalePayGapsByOccupationalSeriesAndRacialEthnicGroup[[#This Row],[White Male Average Salary]],"")</f>
        <v/>
      </c>
      <c r="L231" s="10">
        <f>IFERROR(FemalePayGapsByOccupationalSeriesAndRacialEthnicGroup[[#This Row],[ANHPI Female Employees]]/M$318,"")</f>
        <v>3.9435741563401136E-3</v>
      </c>
      <c r="M231" s="8">
        <v>253</v>
      </c>
      <c r="N231" s="6">
        <v>126550.86561264801</v>
      </c>
      <c r="O231" s="52">
        <f>IFERROR(FemalePayGapsByOccupationalSeriesAndRacialEthnicGroup[[#This Row],[ANHPI Female Avg Salary]]/FemalePayGapsByOccupationalSeriesAndRacialEthnicGroup[[#This Row],[White Male Average Salary]],"")</f>
        <v>0.97154198025768412</v>
      </c>
      <c r="P231" s="10">
        <f>IFERROR(FemalePayGapsByOccupationalSeriesAndRacialEthnicGroup[[#This Row],[Black Female Employees]]/Q$318,"")</f>
        <v>9.8377016847658199E-4</v>
      </c>
      <c r="Q231" s="8">
        <v>207</v>
      </c>
      <c r="R231" s="6">
        <v>122405.980676329</v>
      </c>
      <c r="S231" s="52">
        <f>IFERROR(FemalePayGapsByOccupationalSeriesAndRacialEthnicGroup[[#This Row],[Black Female Avg Salary]]/FemalePayGapsByOccupationalSeriesAndRacialEthnicGroup[[#This Row],[White Male Average Salary]],"")</f>
        <v>0.93972133881460296</v>
      </c>
      <c r="T231" s="10">
        <f>IFERROR(FemalePayGapsByOccupationalSeriesAndRacialEthnicGroup[[#This Row],[Hispanic Latino Female Employees]]/U$318,"")</f>
        <v>2.6918590491328367E-3</v>
      </c>
      <c r="U231" s="8">
        <v>210</v>
      </c>
      <c r="V231" s="6">
        <v>116901.514285714</v>
      </c>
      <c r="W231" s="52">
        <f>IFERROR(FemalePayGapsByOccupationalSeriesAndRacialEthnicGroup[[#This Row],[Hispanic Latino Female Avg Salary]]/FemalePayGapsByOccupationalSeriesAndRacialEthnicGroup[[#This Row],[White Male Average Salary]],"")</f>
        <v>0.89746307253163038</v>
      </c>
      <c r="X231" s="10">
        <f>IFERROR(FemalePayGapsByOccupationalSeriesAndRacialEthnicGroup[[#This Row],[Other Female Employees]]/Y$318,"")</f>
        <v>3.9568141993103836E-3</v>
      </c>
      <c r="Y231" s="8">
        <v>70</v>
      </c>
      <c r="Z231" s="6">
        <v>112636.88571428601</v>
      </c>
      <c r="AA231" s="1">
        <f>IFERROR(FemalePayGapsByOccupationalSeriesAndRacialEthnicGroup[[#This Row],[Other Female Avg Salary]]/FemalePayGapsByOccupationalSeriesAndRacialEthnicGroup[[#This Row],[White Male Average Salary]],"")</f>
        <v>0.86472314880775381</v>
      </c>
    </row>
    <row r="232" spans="1:27" ht="15.6" x14ac:dyDescent="0.3">
      <c r="A232" s="45" t="s">
        <v>241</v>
      </c>
      <c r="B232" s="38">
        <v>477</v>
      </c>
      <c r="C232" s="39">
        <v>118878.733752621</v>
      </c>
      <c r="D232" s="69">
        <f>IFERROR(FemalePayGapsByOccupationalSeriesAndRacialEthnicGroup[[#This Row],[White Female Employees]]/E$318,"")</f>
        <v>3.439226458823478E-4</v>
      </c>
      <c r="E232" s="67">
        <v>157</v>
      </c>
      <c r="F232" s="64">
        <v>109878.732484076</v>
      </c>
      <c r="G232" s="72">
        <f>IFERROR(FemalePayGapsByOccupationalSeriesAndRacialEthnicGroup[[#This Row],[White Female Avg Salary]]/FemalePayGapsByOccupationalSeriesAndRacialEthnicGroup[[#This Row],[White Male Average Salary]],"")</f>
        <v>0.9242925880479731</v>
      </c>
      <c r="H232" s="10" t="str">
        <f>IFERROR(FemalePayGapsByOccupationalSeriesAndRacialEthnicGroup[[#This Row],[AIAN Female Employees]]/I$318,"")</f>
        <v/>
      </c>
      <c r="I232" t="s">
        <v>0</v>
      </c>
      <c r="J232" s="6" t="s">
        <v>0</v>
      </c>
      <c r="K232" s="52" t="str">
        <f>IFERROR(FemalePayGapsByOccupationalSeriesAndRacialEthnicGroup[[#This Row],[AIAN Female Avg Salary]]/FemalePayGapsByOccupationalSeriesAndRacialEthnicGroup[[#This Row],[White Male Average Salary]],"")</f>
        <v/>
      </c>
      <c r="L232" s="10" t="str">
        <f>IFERROR(FemalePayGapsByOccupationalSeriesAndRacialEthnicGroup[[#This Row],[ANHPI Female Employees]]/M$318,"")</f>
        <v/>
      </c>
      <c r="M232" s="8" t="s">
        <v>0</v>
      </c>
      <c r="N232" s="6" t="s">
        <v>0</v>
      </c>
      <c r="O232" s="52" t="str">
        <f>IFERROR(FemalePayGapsByOccupationalSeriesAndRacialEthnicGroup[[#This Row],[ANHPI Female Avg Salary]]/FemalePayGapsByOccupationalSeriesAndRacialEthnicGroup[[#This Row],[White Male Average Salary]],"")</f>
        <v/>
      </c>
      <c r="P232" s="10" t="str">
        <f>IFERROR(FemalePayGapsByOccupationalSeriesAndRacialEthnicGroup[[#This Row],[Black Female Employees]]/Q$318,"")</f>
        <v/>
      </c>
      <c r="Q232" s="8" t="s">
        <v>0</v>
      </c>
      <c r="R232" s="6" t="s">
        <v>0</v>
      </c>
      <c r="S232" s="52" t="str">
        <f>IFERROR(FemalePayGapsByOccupationalSeriesAndRacialEthnicGroup[[#This Row],[Black Female Avg Salary]]/FemalePayGapsByOccupationalSeriesAndRacialEthnicGroup[[#This Row],[White Male Average Salary]],"")</f>
        <v/>
      </c>
      <c r="T232" s="10" t="str">
        <f>IFERROR(FemalePayGapsByOccupationalSeriesAndRacialEthnicGroup[[#This Row],[Hispanic Latino Female Employees]]/U$318,"")</f>
        <v/>
      </c>
      <c r="U232" s="8" t="s">
        <v>0</v>
      </c>
      <c r="V232" s="6" t="s">
        <v>0</v>
      </c>
      <c r="W23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32" s="10" t="str">
        <f>IFERROR(FemalePayGapsByOccupationalSeriesAndRacialEthnicGroup[[#This Row],[Other Female Employees]]/Y$318,"")</f>
        <v/>
      </c>
      <c r="Y232" s="8" t="s">
        <v>0</v>
      </c>
      <c r="Z232" s="6" t="s">
        <v>0</v>
      </c>
      <c r="AA23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33" spans="1:27" ht="15.6" x14ac:dyDescent="0.3">
      <c r="A233" s="46" t="s">
        <v>242</v>
      </c>
      <c r="B233" s="40">
        <v>1526</v>
      </c>
      <c r="C233" s="41">
        <v>140628.415465269</v>
      </c>
      <c r="D233" s="70">
        <f>IFERROR(FemalePayGapsByOccupationalSeriesAndRacialEthnicGroup[[#This Row],[White Female Employees]]/E$318,"")</f>
        <v>5.4326634508803978E-4</v>
      </c>
      <c r="E233" s="16">
        <v>248</v>
      </c>
      <c r="F233" s="17">
        <v>130745.004032258</v>
      </c>
      <c r="G233" s="18">
        <f>IFERROR(FemalePayGapsByOccupationalSeriesAndRacialEthnicGroup[[#This Row],[White Female Avg Salary]]/FemalePayGapsByOccupationalSeriesAndRacialEthnicGroup[[#This Row],[White Male Average Salary]],"")</f>
        <v>0.9297196700943281</v>
      </c>
      <c r="H233" s="10" t="str">
        <f>IFERROR(FemalePayGapsByOccupationalSeriesAndRacialEthnicGroup[[#This Row],[AIAN Female Employees]]/I$318,"")</f>
        <v/>
      </c>
      <c r="I233" t="s">
        <v>0</v>
      </c>
      <c r="J233" s="6" t="s">
        <v>0</v>
      </c>
      <c r="K233" s="52" t="str">
        <f>IFERROR(FemalePayGapsByOccupationalSeriesAndRacialEthnicGroup[[#This Row],[AIAN Female Avg Salary]]/FemalePayGapsByOccupationalSeriesAndRacialEthnicGroup[[#This Row],[White Male Average Salary]],"")</f>
        <v/>
      </c>
      <c r="L233" s="10">
        <f>IFERROR(FemalePayGapsByOccupationalSeriesAndRacialEthnicGroup[[#This Row],[ANHPI Female Employees]]/M$318,"")</f>
        <v>4.0526849037487333E-4</v>
      </c>
      <c r="M233" s="8">
        <v>26</v>
      </c>
      <c r="N233" s="6">
        <v>140627.961538462</v>
      </c>
      <c r="O233" s="52">
        <f>IFERROR(FemalePayGapsByOccupationalSeriesAndRacialEthnicGroup[[#This Row],[ANHPI Female Avg Salary]]/FemalePayGapsByOccupationalSeriesAndRacialEthnicGroup[[#This Row],[White Male Average Salary]],"")</f>
        <v>0.99999677215443616</v>
      </c>
      <c r="P233" s="10" t="str">
        <f>IFERROR(FemalePayGapsByOccupationalSeriesAndRacialEthnicGroup[[#This Row],[Black Female Employees]]/Q$318,"")</f>
        <v/>
      </c>
      <c r="Q233" s="8" t="s">
        <v>0</v>
      </c>
      <c r="R233" s="6" t="s">
        <v>0</v>
      </c>
      <c r="S233" s="52" t="str">
        <f>IFERROR(FemalePayGapsByOccupationalSeriesAndRacialEthnicGroup[[#This Row],[Black Female Avg Salary]]/FemalePayGapsByOccupationalSeriesAndRacialEthnicGroup[[#This Row],[White Male Average Salary]],"")</f>
        <v/>
      </c>
      <c r="T233" s="10" t="str">
        <f>IFERROR(FemalePayGapsByOccupationalSeriesAndRacialEthnicGroup[[#This Row],[Hispanic Latino Female Employees]]/U$318,"")</f>
        <v/>
      </c>
      <c r="U233" s="8" t="s">
        <v>0</v>
      </c>
      <c r="V233" s="6" t="s">
        <v>0</v>
      </c>
      <c r="W23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33" s="10" t="str">
        <f>IFERROR(FemalePayGapsByOccupationalSeriesAndRacialEthnicGroup[[#This Row],[Other Female Employees]]/Y$318,"")</f>
        <v/>
      </c>
      <c r="Y233" s="8" t="s">
        <v>0</v>
      </c>
      <c r="Z233" s="6" t="s">
        <v>0</v>
      </c>
      <c r="AA23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34" spans="1:27" ht="15.6" x14ac:dyDescent="0.3">
      <c r="A234" s="45" t="s">
        <v>243</v>
      </c>
      <c r="B234" s="38">
        <v>910</v>
      </c>
      <c r="C234" s="39">
        <v>78852.590109890007</v>
      </c>
      <c r="D234" s="69">
        <f>IFERROR(FemalePayGapsByOccupationalSeriesAndRacialEthnicGroup[[#This Row],[White Female Employees]]/E$318,"")</f>
        <v>7.3603827399024754E-4</v>
      </c>
      <c r="E234" s="67">
        <v>336</v>
      </c>
      <c r="F234" s="64">
        <v>68783.346268656998</v>
      </c>
      <c r="G234" s="72">
        <f>IFERROR(FemalePayGapsByOccupationalSeriesAndRacialEthnicGroup[[#This Row],[White Female Avg Salary]]/FemalePayGapsByOccupationalSeriesAndRacialEthnicGroup[[#This Row],[White Male Average Salary]],"")</f>
        <v>0.87230294113103479</v>
      </c>
      <c r="H234" s="10" t="str">
        <f>IFERROR(FemalePayGapsByOccupationalSeriesAndRacialEthnicGroup[[#This Row],[AIAN Female Employees]]/I$318,"")</f>
        <v/>
      </c>
      <c r="I234" t="s">
        <v>0</v>
      </c>
      <c r="J234" s="6" t="s">
        <v>0</v>
      </c>
      <c r="K234" s="52" t="str">
        <f>IFERROR(FemalePayGapsByOccupationalSeriesAndRacialEthnicGroup[[#This Row],[AIAN Female Avg Salary]]/FemalePayGapsByOccupationalSeriesAndRacialEthnicGroup[[#This Row],[White Male Average Salary]],"")</f>
        <v/>
      </c>
      <c r="L234" s="10">
        <f>IFERROR(FemalePayGapsByOccupationalSeriesAndRacialEthnicGroup[[#This Row],[ANHPI Female Employees]]/M$318,"")</f>
        <v>7.6377523186033829E-4</v>
      </c>
      <c r="M234" s="8">
        <v>49</v>
      </c>
      <c r="N234" s="6">
        <v>68094.244897958997</v>
      </c>
      <c r="O234" s="52">
        <f>IFERROR(FemalePayGapsByOccupationalSeriesAndRacialEthnicGroup[[#This Row],[ANHPI Female Avg Salary]]/FemalePayGapsByOccupationalSeriesAndRacialEthnicGroup[[#This Row],[White Male Average Salary]],"")</f>
        <v>0.86356383224776712</v>
      </c>
      <c r="P234" s="10">
        <f>IFERROR(FemalePayGapsByOccupationalSeriesAndRacialEthnicGroup[[#This Row],[Black Female Employees]]/Q$318,"")</f>
        <v>3.5643846683934132E-4</v>
      </c>
      <c r="Q234" s="8">
        <v>75</v>
      </c>
      <c r="R234" s="6">
        <v>68278.066666667</v>
      </c>
      <c r="S234" s="52">
        <f>IFERROR(FemalePayGapsByOccupationalSeriesAndRacialEthnicGroup[[#This Row],[Black Female Avg Salary]]/FemalePayGapsByOccupationalSeriesAndRacialEthnicGroup[[#This Row],[White Male Average Salary]],"")</f>
        <v>0.865895039991886</v>
      </c>
      <c r="T234" s="10" t="str">
        <f>IFERROR(FemalePayGapsByOccupationalSeriesAndRacialEthnicGroup[[#This Row],[Hispanic Latino Female Employees]]/U$318,"")</f>
        <v/>
      </c>
      <c r="U234" s="8" t="s">
        <v>0</v>
      </c>
      <c r="V234" s="6" t="s">
        <v>0</v>
      </c>
      <c r="W23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34" s="10" t="str">
        <f>IFERROR(FemalePayGapsByOccupationalSeriesAndRacialEthnicGroup[[#This Row],[Other Female Employees]]/Y$318,"")</f>
        <v/>
      </c>
      <c r="Y234" s="8" t="s">
        <v>0</v>
      </c>
      <c r="Z234" s="6" t="s">
        <v>0</v>
      </c>
      <c r="AA23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35" spans="1:27" ht="15.6" x14ac:dyDescent="0.3">
      <c r="A235" s="46" t="s">
        <v>244</v>
      </c>
      <c r="B235" s="40">
        <v>228</v>
      </c>
      <c r="C235" s="41">
        <v>131864.88596491201</v>
      </c>
      <c r="D235" s="70">
        <f>IFERROR(FemalePayGapsByOccupationalSeriesAndRacialEthnicGroup[[#This Row],[White Female Employees]]/E$318,"")</f>
        <v>2.2563078041962944E-4</v>
      </c>
      <c r="E235" s="16">
        <v>103</v>
      </c>
      <c r="F235" s="17">
        <v>122885.310679612</v>
      </c>
      <c r="G235" s="18">
        <f>IFERROR(FemalePayGapsByOccupationalSeriesAndRacialEthnicGroup[[#This Row],[White Female Avg Salary]]/FemalePayGapsByOccupationalSeriesAndRacialEthnicGroup[[#This Row],[White Male Average Salary]],"")</f>
        <v>0.93190321123328168</v>
      </c>
      <c r="H235" s="10" t="str">
        <f>IFERROR(FemalePayGapsByOccupationalSeriesAndRacialEthnicGroup[[#This Row],[AIAN Female Employees]]/I$318,"")</f>
        <v/>
      </c>
      <c r="I235" t="s">
        <v>0</v>
      </c>
      <c r="J235" s="6" t="s">
        <v>0</v>
      </c>
      <c r="K235" s="52" t="str">
        <f>IFERROR(FemalePayGapsByOccupationalSeriesAndRacialEthnicGroup[[#This Row],[AIAN Female Avg Salary]]/FemalePayGapsByOccupationalSeriesAndRacialEthnicGroup[[#This Row],[White Male Average Salary]],"")</f>
        <v/>
      </c>
      <c r="L235" s="10" t="str">
        <f>IFERROR(FemalePayGapsByOccupationalSeriesAndRacialEthnicGroup[[#This Row],[ANHPI Female Employees]]/M$318,"")</f>
        <v/>
      </c>
      <c r="M235" s="8" t="s">
        <v>0</v>
      </c>
      <c r="N235" s="6" t="s">
        <v>0</v>
      </c>
      <c r="O235" s="52" t="str">
        <f>IFERROR(FemalePayGapsByOccupationalSeriesAndRacialEthnicGroup[[#This Row],[ANHPI Female Avg Salary]]/FemalePayGapsByOccupationalSeriesAndRacialEthnicGroup[[#This Row],[White Male Average Salary]],"")</f>
        <v/>
      </c>
      <c r="P235" s="10" t="str">
        <f>IFERROR(FemalePayGapsByOccupationalSeriesAndRacialEthnicGroup[[#This Row],[Black Female Employees]]/Q$318,"")</f>
        <v/>
      </c>
      <c r="Q235" s="8" t="s">
        <v>0</v>
      </c>
      <c r="R235" s="6" t="s">
        <v>0</v>
      </c>
      <c r="S235" s="52" t="str">
        <f>IFERROR(FemalePayGapsByOccupationalSeriesAndRacialEthnicGroup[[#This Row],[Black Female Avg Salary]]/FemalePayGapsByOccupationalSeriesAndRacialEthnicGroup[[#This Row],[White Male Average Salary]],"")</f>
        <v/>
      </c>
      <c r="T235" s="10" t="str">
        <f>IFERROR(FemalePayGapsByOccupationalSeriesAndRacialEthnicGroup[[#This Row],[Hispanic Latino Female Employees]]/U$318,"")</f>
        <v/>
      </c>
      <c r="U235" s="8" t="s">
        <v>0</v>
      </c>
      <c r="V235" s="6" t="s">
        <v>0</v>
      </c>
      <c r="W23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35" s="10" t="str">
        <f>IFERROR(FemalePayGapsByOccupationalSeriesAndRacialEthnicGroup[[#This Row],[Other Female Employees]]/Y$318,"")</f>
        <v/>
      </c>
      <c r="Y235" s="8" t="s">
        <v>0</v>
      </c>
      <c r="Z235" s="6" t="s">
        <v>0</v>
      </c>
      <c r="AA23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36" spans="1:27" ht="15.6" x14ac:dyDescent="0.3">
      <c r="A236" s="45" t="s">
        <v>245</v>
      </c>
      <c r="B236" s="38">
        <v>1118</v>
      </c>
      <c r="C236" s="39">
        <v>107814.43738819299</v>
      </c>
      <c r="D236" s="69">
        <f>IFERROR(FemalePayGapsByOccupationalSeriesAndRacialEthnicGroup[[#This Row],[White Female Employees]]/E$318,"")</f>
        <v>1.0711985594679494E-3</v>
      </c>
      <c r="E236" s="67">
        <v>489</v>
      </c>
      <c r="F236" s="64">
        <v>98682.124744375993</v>
      </c>
      <c r="G236" s="72">
        <f>IFERROR(FemalePayGapsByOccupationalSeriesAndRacialEthnicGroup[[#This Row],[White Female Avg Salary]]/FemalePayGapsByOccupationalSeriesAndRacialEthnicGroup[[#This Row],[White Male Average Salary]],"")</f>
        <v>0.91529601354839418</v>
      </c>
      <c r="H236" s="10" t="str">
        <f>IFERROR(FemalePayGapsByOccupationalSeriesAndRacialEthnicGroup[[#This Row],[AIAN Female Employees]]/I$318,"")</f>
        <v/>
      </c>
      <c r="I236" t="s">
        <v>0</v>
      </c>
      <c r="J236" s="6" t="s">
        <v>0</v>
      </c>
      <c r="K236" s="52" t="str">
        <f>IFERROR(FemalePayGapsByOccupationalSeriesAndRacialEthnicGroup[[#This Row],[AIAN Female Avg Salary]]/FemalePayGapsByOccupationalSeriesAndRacialEthnicGroup[[#This Row],[White Male Average Salary]],"")</f>
        <v/>
      </c>
      <c r="L236" s="10" t="str">
        <f>IFERROR(FemalePayGapsByOccupationalSeriesAndRacialEthnicGroup[[#This Row],[ANHPI Female Employees]]/M$318,"")</f>
        <v/>
      </c>
      <c r="M236" s="8" t="s">
        <v>0</v>
      </c>
      <c r="N236" s="6" t="s">
        <v>0</v>
      </c>
      <c r="O236" s="52" t="str">
        <f>IFERROR(FemalePayGapsByOccupationalSeriesAndRacialEthnicGroup[[#This Row],[ANHPI Female Avg Salary]]/FemalePayGapsByOccupationalSeriesAndRacialEthnicGroup[[#This Row],[White Male Average Salary]],"")</f>
        <v/>
      </c>
      <c r="P236" s="10" t="str">
        <f>IFERROR(FemalePayGapsByOccupationalSeriesAndRacialEthnicGroup[[#This Row],[Black Female Employees]]/Q$318,"")</f>
        <v/>
      </c>
      <c r="Q236" s="8" t="s">
        <v>0</v>
      </c>
      <c r="R236" s="6" t="s">
        <v>0</v>
      </c>
      <c r="S236" s="52" t="str">
        <f>IFERROR(FemalePayGapsByOccupationalSeriesAndRacialEthnicGroup[[#This Row],[Black Female Avg Salary]]/FemalePayGapsByOccupationalSeriesAndRacialEthnicGroup[[#This Row],[White Male Average Salary]],"")</f>
        <v/>
      </c>
      <c r="T236" s="10" t="str">
        <f>IFERROR(FemalePayGapsByOccupationalSeriesAndRacialEthnicGroup[[#This Row],[Hispanic Latino Female Employees]]/U$318,"")</f>
        <v/>
      </c>
      <c r="U236" s="8" t="s">
        <v>0</v>
      </c>
      <c r="V236" s="6" t="s">
        <v>0</v>
      </c>
      <c r="W23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36" s="10" t="str">
        <f>IFERROR(FemalePayGapsByOccupationalSeriesAndRacialEthnicGroup[[#This Row],[Other Female Employees]]/Y$318,"")</f>
        <v/>
      </c>
      <c r="Y236" s="8" t="s">
        <v>0</v>
      </c>
      <c r="Z236" s="6" t="s">
        <v>0</v>
      </c>
      <c r="AA23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37" spans="1:27" ht="15.6" x14ac:dyDescent="0.3">
      <c r="A237" s="46" t="s">
        <v>246</v>
      </c>
      <c r="B237" s="40">
        <v>950</v>
      </c>
      <c r="C237" s="41">
        <v>68257.175789474</v>
      </c>
      <c r="D237" s="70">
        <f>IFERROR(FemalePayGapsByOccupationalSeriesAndRacialEthnicGroup[[#This Row],[White Female Employees]]/E$318,"")</f>
        <v>4.8850159255900351E-4</v>
      </c>
      <c r="E237" s="16">
        <v>223</v>
      </c>
      <c r="F237" s="17">
        <v>59791.260089686002</v>
      </c>
      <c r="G237" s="18">
        <f>IFERROR(FemalePayGapsByOccupationalSeriesAndRacialEthnicGroup[[#This Row],[White Female Avg Salary]]/FemalePayGapsByOccupationalSeriesAndRacialEthnicGroup[[#This Row],[White Male Average Salary]],"")</f>
        <v>0.87597031957636995</v>
      </c>
      <c r="H237" s="10" t="str">
        <f>IFERROR(FemalePayGapsByOccupationalSeriesAndRacialEthnicGroup[[#This Row],[AIAN Female Employees]]/I$318,"")</f>
        <v/>
      </c>
      <c r="I237" t="s">
        <v>0</v>
      </c>
      <c r="J237" s="6" t="s">
        <v>0</v>
      </c>
      <c r="K237" s="52" t="str">
        <f>IFERROR(FemalePayGapsByOccupationalSeriesAndRacialEthnicGroup[[#This Row],[AIAN Female Avg Salary]]/FemalePayGapsByOccupationalSeriesAndRacialEthnicGroup[[#This Row],[White Male Average Salary]],"")</f>
        <v/>
      </c>
      <c r="L237" s="10" t="str">
        <f>IFERROR(FemalePayGapsByOccupationalSeriesAndRacialEthnicGroup[[#This Row],[ANHPI Female Employees]]/M$318,"")</f>
        <v/>
      </c>
      <c r="M237" s="8" t="s">
        <v>0</v>
      </c>
      <c r="N237" s="6" t="s">
        <v>0</v>
      </c>
      <c r="O237" s="52" t="str">
        <f>IFERROR(FemalePayGapsByOccupationalSeriesAndRacialEthnicGroup[[#This Row],[ANHPI Female Avg Salary]]/FemalePayGapsByOccupationalSeriesAndRacialEthnicGroup[[#This Row],[White Male Average Salary]],"")</f>
        <v/>
      </c>
      <c r="P237" s="10" t="str">
        <f>IFERROR(FemalePayGapsByOccupationalSeriesAndRacialEthnicGroup[[#This Row],[Black Female Employees]]/Q$318,"")</f>
        <v/>
      </c>
      <c r="Q237" s="8" t="s">
        <v>0</v>
      </c>
      <c r="R237" s="6" t="s">
        <v>0</v>
      </c>
      <c r="S237" s="52" t="str">
        <f>IFERROR(FemalePayGapsByOccupationalSeriesAndRacialEthnicGroup[[#This Row],[Black Female Avg Salary]]/FemalePayGapsByOccupationalSeriesAndRacialEthnicGroup[[#This Row],[White Male Average Salary]],"")</f>
        <v/>
      </c>
      <c r="T237" s="10" t="str">
        <f>IFERROR(FemalePayGapsByOccupationalSeriesAndRacialEthnicGroup[[#This Row],[Hispanic Latino Female Employees]]/U$318,"")</f>
        <v/>
      </c>
      <c r="U237" s="8" t="s">
        <v>0</v>
      </c>
      <c r="V237" s="6" t="s">
        <v>0</v>
      </c>
      <c r="W23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37" s="10" t="str">
        <f>IFERROR(FemalePayGapsByOccupationalSeriesAndRacialEthnicGroup[[#This Row],[Other Female Employees]]/Y$318,"")</f>
        <v/>
      </c>
      <c r="Y237" s="8" t="s">
        <v>0</v>
      </c>
      <c r="Z237" s="6" t="s">
        <v>0</v>
      </c>
      <c r="AA23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38" spans="1:27" ht="15.6" x14ac:dyDescent="0.3">
      <c r="A238" s="45" t="s">
        <v>247</v>
      </c>
      <c r="B238" s="38">
        <v>1869</v>
      </c>
      <c r="C238" s="39">
        <v>128749.403959337</v>
      </c>
      <c r="D238" s="69">
        <f>IFERROR(FemalePayGapsByOccupationalSeriesAndRacialEthnicGroup[[#This Row],[White Female Employees]]/E$318,"")</f>
        <v>2.8192894601947872E-3</v>
      </c>
      <c r="E238" s="67">
        <v>1287</v>
      </c>
      <c r="F238" s="64">
        <v>117161.91996892</v>
      </c>
      <c r="G238" s="72">
        <f>IFERROR(FemalePayGapsByOccupationalSeriesAndRacialEthnicGroup[[#This Row],[White Female Avg Salary]]/FemalePayGapsByOccupationalSeriesAndRacialEthnicGroup[[#This Row],[White Male Average Salary]],"")</f>
        <v>0.90999970769513872</v>
      </c>
      <c r="H238" s="10" t="str">
        <f>IFERROR(FemalePayGapsByOccupationalSeriesAndRacialEthnicGroup[[#This Row],[AIAN Female Employees]]/I$318,"")</f>
        <v/>
      </c>
      <c r="I238" t="s">
        <v>0</v>
      </c>
      <c r="J238" s="6" t="s">
        <v>0</v>
      </c>
      <c r="K238" s="52" t="str">
        <f>IFERROR(FemalePayGapsByOccupationalSeriesAndRacialEthnicGroup[[#This Row],[AIAN Female Avg Salary]]/FemalePayGapsByOccupationalSeriesAndRacialEthnicGroup[[#This Row],[White Male Average Salary]],"")</f>
        <v/>
      </c>
      <c r="L238" s="10">
        <f>IFERROR(FemalePayGapsByOccupationalSeriesAndRacialEthnicGroup[[#This Row],[ANHPI Female Employees]]/M$318,"")</f>
        <v>6.2348998519211286E-3</v>
      </c>
      <c r="M238" s="8">
        <v>400</v>
      </c>
      <c r="N238" s="6">
        <v>126165.03750000001</v>
      </c>
      <c r="O238" s="52">
        <f>IFERROR(FemalePayGapsByOccupationalSeriesAndRacialEthnicGroup[[#This Row],[ANHPI Female Avg Salary]]/FemalePayGapsByOccupationalSeriesAndRacialEthnicGroup[[#This Row],[White Male Average Salary]],"")</f>
        <v>0.97992715787520679</v>
      </c>
      <c r="P238" s="10">
        <f>IFERROR(FemalePayGapsByOccupationalSeriesAndRacialEthnicGroup[[#This Row],[Black Female Employees]]/Q$318,"")</f>
        <v>1.0883254520827888E-3</v>
      </c>
      <c r="Q238" s="8">
        <v>229</v>
      </c>
      <c r="R238" s="6">
        <v>112538.53711790399</v>
      </c>
      <c r="S238" s="52">
        <f>IFERROR(FemalePayGapsByOccupationalSeriesAndRacialEthnicGroup[[#This Row],[Black Female Avg Salary]]/FemalePayGapsByOccupationalSeriesAndRacialEthnicGroup[[#This Row],[White Male Average Salary]],"")</f>
        <v>0.87408977173554225</v>
      </c>
      <c r="T238" s="10">
        <f>IFERROR(FemalePayGapsByOccupationalSeriesAndRacialEthnicGroup[[#This Row],[Hispanic Latino Female Employees]]/U$318,"")</f>
        <v>1.6792073116019125E-3</v>
      </c>
      <c r="U238" s="8">
        <v>131</v>
      </c>
      <c r="V238" s="6">
        <v>112316.09160305301</v>
      </c>
      <c r="W238" s="52">
        <f>IFERROR(FemalePayGapsByOccupationalSeriesAndRacialEthnicGroup[[#This Row],[Hispanic Latino Female Avg Salary]]/FemalePayGapsByOccupationalSeriesAndRacialEthnicGroup[[#This Row],[White Male Average Salary]],"")</f>
        <v>0.87236203158288694</v>
      </c>
      <c r="X238" s="10" t="str">
        <f>IFERROR(FemalePayGapsByOccupationalSeriesAndRacialEthnicGroup[[#This Row],[Other Female Employees]]/Y$318,"")</f>
        <v/>
      </c>
      <c r="Y238" s="8" t="s">
        <v>0</v>
      </c>
      <c r="Z238" s="6" t="s">
        <v>0</v>
      </c>
      <c r="AA23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39" spans="1:27" ht="15.6" x14ac:dyDescent="0.3">
      <c r="A239" s="46" t="s">
        <v>248</v>
      </c>
      <c r="B239" s="40">
        <v>276</v>
      </c>
      <c r="C239" s="41">
        <v>156422.73913043499</v>
      </c>
      <c r="D239" s="70">
        <f>IFERROR(FemalePayGapsByOccupationalSeriesAndRacialEthnicGroup[[#This Row],[White Female Employees]]/E$318,"")</f>
        <v>2.322025507231138E-4</v>
      </c>
      <c r="E239" s="16">
        <v>106</v>
      </c>
      <c r="F239" s="17">
        <v>148169.83018867901</v>
      </c>
      <c r="G239" s="18">
        <f>IFERROR(FemalePayGapsByOccupationalSeriesAndRacialEthnicGroup[[#This Row],[White Female Avg Salary]]/FemalePayGapsByOccupationalSeriesAndRacialEthnicGroup[[#This Row],[White Male Average Salary]],"")</f>
        <v>0.94723971087813397</v>
      </c>
      <c r="H239" s="10" t="str">
        <f>IFERROR(FemalePayGapsByOccupationalSeriesAndRacialEthnicGroup[[#This Row],[AIAN Female Employees]]/I$318,"")</f>
        <v/>
      </c>
      <c r="I239" t="s">
        <v>0</v>
      </c>
      <c r="J239" s="6" t="s">
        <v>0</v>
      </c>
      <c r="K239" s="52" t="str">
        <f>IFERROR(FemalePayGapsByOccupationalSeriesAndRacialEthnicGroup[[#This Row],[AIAN Female Avg Salary]]/FemalePayGapsByOccupationalSeriesAndRacialEthnicGroup[[#This Row],[White Male Average Salary]],"")</f>
        <v/>
      </c>
      <c r="L239" s="10" t="str">
        <f>IFERROR(FemalePayGapsByOccupationalSeriesAndRacialEthnicGroup[[#This Row],[ANHPI Female Employees]]/M$318,"")</f>
        <v/>
      </c>
      <c r="M239" s="8" t="s">
        <v>0</v>
      </c>
      <c r="N239" s="6" t="s">
        <v>0</v>
      </c>
      <c r="O239" s="52" t="str">
        <f>IFERROR(FemalePayGapsByOccupationalSeriesAndRacialEthnicGroup[[#This Row],[ANHPI Female Avg Salary]]/FemalePayGapsByOccupationalSeriesAndRacialEthnicGroup[[#This Row],[White Male Average Salary]],"")</f>
        <v/>
      </c>
      <c r="P239" s="10" t="str">
        <f>IFERROR(FemalePayGapsByOccupationalSeriesAndRacialEthnicGroup[[#This Row],[Black Female Employees]]/Q$318,"")</f>
        <v/>
      </c>
      <c r="Q239" s="8" t="s">
        <v>0</v>
      </c>
      <c r="R239" s="6" t="s">
        <v>0</v>
      </c>
      <c r="S239" s="52" t="str">
        <f>IFERROR(FemalePayGapsByOccupationalSeriesAndRacialEthnicGroup[[#This Row],[Black Female Avg Salary]]/FemalePayGapsByOccupationalSeriesAndRacialEthnicGroup[[#This Row],[White Male Average Salary]],"")</f>
        <v/>
      </c>
      <c r="T239" s="10" t="str">
        <f>IFERROR(FemalePayGapsByOccupationalSeriesAndRacialEthnicGroup[[#This Row],[Hispanic Latino Female Employees]]/U$318,"")</f>
        <v/>
      </c>
      <c r="U239" s="8" t="s">
        <v>0</v>
      </c>
      <c r="V239" s="47" t="s">
        <v>0</v>
      </c>
      <c r="W23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39" s="10" t="str">
        <f>IFERROR(FemalePayGapsByOccupationalSeriesAndRacialEthnicGroup[[#This Row],[Other Female Employees]]/Y$318,"")</f>
        <v/>
      </c>
      <c r="Y239" s="8" t="s">
        <v>0</v>
      </c>
      <c r="Z239" s="6" t="s">
        <v>0</v>
      </c>
      <c r="AA23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40" spans="1:27" ht="15.6" x14ac:dyDescent="0.3">
      <c r="A240" s="45" t="s">
        <v>249</v>
      </c>
      <c r="B240" s="38">
        <v>2092</v>
      </c>
      <c r="C240" s="39">
        <v>112281.810229446</v>
      </c>
      <c r="D240" s="69">
        <f>IFERROR(FemalePayGapsByOccupationalSeriesAndRacialEthnicGroup[[#This Row],[White Female Employees]]/E$318,"")</f>
        <v>1.0230055772423976E-3</v>
      </c>
      <c r="E240" s="67">
        <v>467</v>
      </c>
      <c r="F240" s="64">
        <v>96533.877944324995</v>
      </c>
      <c r="G240" s="72">
        <f>IFERROR(FemalePayGapsByOccupationalSeriesAndRacialEthnicGroup[[#This Row],[White Female Avg Salary]]/FemalePayGapsByOccupationalSeriesAndRacialEthnicGroup[[#This Row],[White Male Average Salary]],"")</f>
        <v>0.85974636271947913</v>
      </c>
      <c r="H240" s="10" t="str">
        <f>IFERROR(FemalePayGapsByOccupationalSeriesAndRacialEthnicGroup[[#This Row],[AIAN Female Employees]]/I$318,"")</f>
        <v/>
      </c>
      <c r="I240" t="s">
        <v>0</v>
      </c>
      <c r="J240" s="6" t="s">
        <v>0</v>
      </c>
      <c r="K240" s="52" t="str">
        <f>IFERROR(FemalePayGapsByOccupationalSeriesAndRacialEthnicGroup[[#This Row],[AIAN Female Avg Salary]]/FemalePayGapsByOccupationalSeriesAndRacialEthnicGroup[[#This Row],[White Male Average Salary]],"")</f>
        <v/>
      </c>
      <c r="L240" s="10" t="str">
        <f>IFERROR(FemalePayGapsByOccupationalSeriesAndRacialEthnicGroup[[#This Row],[ANHPI Female Employees]]/M$318,"")</f>
        <v/>
      </c>
      <c r="M240" s="8" t="s">
        <v>0</v>
      </c>
      <c r="N240" s="6" t="s">
        <v>0</v>
      </c>
      <c r="O240" s="52" t="str">
        <f>IFERROR(FemalePayGapsByOccupationalSeriesAndRacialEthnicGroup[[#This Row],[ANHPI Female Avg Salary]]/FemalePayGapsByOccupationalSeriesAndRacialEthnicGroup[[#This Row],[White Male Average Salary]],"")</f>
        <v/>
      </c>
      <c r="P240" s="10" t="str">
        <f>IFERROR(FemalePayGapsByOccupationalSeriesAndRacialEthnicGroup[[#This Row],[Black Female Employees]]/Q$318,"")</f>
        <v/>
      </c>
      <c r="Q240" s="8" t="s">
        <v>0</v>
      </c>
      <c r="R240" s="6" t="s">
        <v>0</v>
      </c>
      <c r="S240" s="52" t="str">
        <f>IFERROR(FemalePayGapsByOccupationalSeriesAndRacialEthnicGroup[[#This Row],[Black Female Avg Salary]]/FemalePayGapsByOccupationalSeriesAndRacialEthnicGroup[[#This Row],[White Male Average Salary]],"")</f>
        <v/>
      </c>
      <c r="T240" s="10" t="str">
        <f>IFERROR(FemalePayGapsByOccupationalSeriesAndRacialEthnicGroup[[#This Row],[Hispanic Latino Female Employees]]/U$318,"")</f>
        <v/>
      </c>
      <c r="U240" s="8" t="s">
        <v>0</v>
      </c>
      <c r="V240" s="47" t="s">
        <v>0</v>
      </c>
      <c r="W24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40" s="10" t="str">
        <f>IFERROR(FemalePayGapsByOccupationalSeriesAndRacialEthnicGroup[[#This Row],[Other Female Employees]]/Y$318,"")</f>
        <v/>
      </c>
      <c r="Y240" s="8" t="s">
        <v>0</v>
      </c>
      <c r="Z240" s="6" t="s">
        <v>0</v>
      </c>
      <c r="AA24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41" spans="1:27" ht="15.6" x14ac:dyDescent="0.3">
      <c r="A241" s="46" t="s">
        <v>250</v>
      </c>
      <c r="B241" s="40">
        <v>303</v>
      </c>
      <c r="C241" s="41">
        <v>81175.108910890995</v>
      </c>
      <c r="D241" s="70">
        <f>IFERROR(FemalePayGapsByOccupationalSeriesAndRacialEthnicGroup[[#This Row],[White Female Employees]]/E$318,"")</f>
        <v>1.0076714465342673E-4</v>
      </c>
      <c r="E241" s="16">
        <v>46</v>
      </c>
      <c r="F241" s="17">
        <v>83441.869565216999</v>
      </c>
      <c r="G241" s="18">
        <f>IFERROR(FemalePayGapsByOccupationalSeriesAndRacialEthnicGroup[[#This Row],[White Female Avg Salary]]/FemalePayGapsByOccupationalSeriesAndRacialEthnicGroup[[#This Row],[White Male Average Salary]],"")</f>
        <v>1.0279243315437288</v>
      </c>
      <c r="H241" s="10" t="str">
        <f>IFERROR(FemalePayGapsByOccupationalSeriesAndRacialEthnicGroup[[#This Row],[AIAN Female Employees]]/I$318,"")</f>
        <v/>
      </c>
      <c r="I241" t="s">
        <v>0</v>
      </c>
      <c r="J241" s="6" t="s">
        <v>0</v>
      </c>
      <c r="K241" s="52" t="str">
        <f>IFERROR(FemalePayGapsByOccupationalSeriesAndRacialEthnicGroup[[#This Row],[AIAN Female Avg Salary]]/FemalePayGapsByOccupationalSeriesAndRacialEthnicGroup[[#This Row],[White Male Average Salary]],"")</f>
        <v/>
      </c>
      <c r="L241" s="10" t="str">
        <f>IFERROR(FemalePayGapsByOccupationalSeriesAndRacialEthnicGroup[[#This Row],[ANHPI Female Employees]]/M$318,"")</f>
        <v/>
      </c>
      <c r="M241" s="8" t="s">
        <v>0</v>
      </c>
      <c r="N241" s="6" t="s">
        <v>0</v>
      </c>
      <c r="O241" s="52" t="str">
        <f>IFERROR(FemalePayGapsByOccupationalSeriesAndRacialEthnicGroup[[#This Row],[ANHPI Female Avg Salary]]/FemalePayGapsByOccupationalSeriesAndRacialEthnicGroup[[#This Row],[White Male Average Salary]],"")</f>
        <v/>
      </c>
      <c r="P241" s="10" t="str">
        <f>IFERROR(FemalePayGapsByOccupationalSeriesAndRacialEthnicGroup[[#This Row],[Black Female Employees]]/Q$318,"")</f>
        <v/>
      </c>
      <c r="Q241" s="8" t="s">
        <v>0</v>
      </c>
      <c r="R241" s="6" t="s">
        <v>0</v>
      </c>
      <c r="S241" s="52" t="str">
        <f>IFERROR(FemalePayGapsByOccupationalSeriesAndRacialEthnicGroup[[#This Row],[Black Female Avg Salary]]/FemalePayGapsByOccupationalSeriesAndRacialEthnicGroup[[#This Row],[White Male Average Salary]],"")</f>
        <v/>
      </c>
      <c r="T241" s="10" t="str">
        <f>IFERROR(FemalePayGapsByOccupationalSeriesAndRacialEthnicGroup[[#This Row],[Hispanic Latino Female Employees]]/U$318,"")</f>
        <v/>
      </c>
      <c r="U241" s="8" t="s">
        <v>0</v>
      </c>
      <c r="V241" s="47" t="s">
        <v>0</v>
      </c>
      <c r="W24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41" s="10" t="str">
        <f>IFERROR(FemalePayGapsByOccupationalSeriesAndRacialEthnicGroup[[#This Row],[Other Female Employees]]/Y$318,"")</f>
        <v/>
      </c>
      <c r="Y241" s="8" t="s">
        <v>0</v>
      </c>
      <c r="Z241" s="6" t="s">
        <v>0</v>
      </c>
      <c r="AA24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42" spans="1:27" ht="15.6" x14ac:dyDescent="0.3">
      <c r="A242" s="45" t="s">
        <v>251</v>
      </c>
      <c r="B242" s="38">
        <v>822</v>
      </c>
      <c r="C242" s="39">
        <v>110802.734793187</v>
      </c>
      <c r="D242" s="69">
        <f>IFERROR(FemalePayGapsByOccupationalSeriesAndRacialEthnicGroup[[#This Row],[White Female Employees]]/E$318,"")</f>
        <v>9.0690430188084068E-4</v>
      </c>
      <c r="E242" s="67">
        <v>414</v>
      </c>
      <c r="F242" s="64">
        <v>102840.54589372</v>
      </c>
      <c r="G242" s="72">
        <f>IFERROR(FemalePayGapsByOccupationalSeriesAndRacialEthnicGroup[[#This Row],[White Female Avg Salary]]/FemalePayGapsByOccupationalSeriesAndRacialEthnicGroup[[#This Row],[White Male Average Salary]],"")</f>
        <v>0.9281408630001019</v>
      </c>
      <c r="H242" s="10" t="str">
        <f>IFERROR(FemalePayGapsByOccupationalSeriesAndRacialEthnicGroup[[#This Row],[AIAN Female Employees]]/I$318,"")</f>
        <v/>
      </c>
      <c r="I242" t="s">
        <v>0</v>
      </c>
      <c r="J242" s="6" t="s">
        <v>0</v>
      </c>
      <c r="K242" s="52" t="str">
        <f>IFERROR(FemalePayGapsByOccupationalSeriesAndRacialEthnicGroup[[#This Row],[AIAN Female Avg Salary]]/FemalePayGapsByOccupationalSeriesAndRacialEthnicGroup[[#This Row],[White Male Average Salary]],"")</f>
        <v/>
      </c>
      <c r="L242" s="10" t="str">
        <f>IFERROR(FemalePayGapsByOccupationalSeriesAndRacialEthnicGroup[[#This Row],[ANHPI Female Employees]]/M$318,"")</f>
        <v/>
      </c>
      <c r="M242" s="8" t="s">
        <v>0</v>
      </c>
      <c r="N242" s="6" t="s">
        <v>0</v>
      </c>
      <c r="O242" s="52" t="str">
        <f>IFERROR(FemalePayGapsByOccupationalSeriesAndRacialEthnicGroup[[#This Row],[ANHPI Female Avg Salary]]/FemalePayGapsByOccupationalSeriesAndRacialEthnicGroup[[#This Row],[White Male Average Salary]],"")</f>
        <v/>
      </c>
      <c r="P242" s="10" t="str">
        <f>IFERROR(FemalePayGapsByOccupationalSeriesAndRacialEthnicGroup[[#This Row],[Black Female Employees]]/Q$318,"")</f>
        <v/>
      </c>
      <c r="Q242" s="8" t="s">
        <v>0</v>
      </c>
      <c r="R242" s="6" t="s">
        <v>0</v>
      </c>
      <c r="S242" s="52" t="str">
        <f>IFERROR(FemalePayGapsByOccupationalSeriesAndRacialEthnicGroup[[#This Row],[Black Female Avg Salary]]/FemalePayGapsByOccupationalSeriesAndRacialEthnicGroup[[#This Row],[White Male Average Salary]],"")</f>
        <v/>
      </c>
      <c r="T242" s="10" t="str">
        <f>IFERROR(FemalePayGapsByOccupationalSeriesAndRacialEthnicGroup[[#This Row],[Hispanic Latino Female Employees]]/U$318,"")</f>
        <v/>
      </c>
      <c r="U242" s="8" t="s">
        <v>0</v>
      </c>
      <c r="V242" s="47" t="s">
        <v>0</v>
      </c>
      <c r="W24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42" s="10" t="str">
        <f>IFERROR(FemalePayGapsByOccupationalSeriesAndRacialEthnicGroup[[#This Row],[Other Female Employees]]/Y$318,"")</f>
        <v/>
      </c>
      <c r="Y242" s="8" t="s">
        <v>0</v>
      </c>
      <c r="Z242" s="6" t="s">
        <v>0</v>
      </c>
      <c r="AA24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43" spans="1:27" ht="15.6" x14ac:dyDescent="0.3">
      <c r="A243" s="46" t="s">
        <v>252</v>
      </c>
      <c r="B243" s="40">
        <v>247</v>
      </c>
      <c r="C243" s="41">
        <v>130720.473684211</v>
      </c>
      <c r="D243" s="70">
        <f>IFERROR(FemalePayGapsByOccupationalSeriesAndRacialEthnicGroup[[#This Row],[White Female Employees]]/E$318,"")</f>
        <v>3.439226458823478E-4</v>
      </c>
      <c r="E243" s="16">
        <v>157</v>
      </c>
      <c r="F243" s="17">
        <v>115813.76433121</v>
      </c>
      <c r="G243" s="18">
        <f>IFERROR(FemalePayGapsByOccupationalSeriesAndRacialEthnicGroup[[#This Row],[White Female Avg Salary]]/FemalePayGapsByOccupationalSeriesAndRacialEthnicGroup[[#This Row],[White Male Average Salary]],"")</f>
        <v>0.88596499895638381</v>
      </c>
      <c r="H243" s="10" t="str">
        <f>IFERROR(FemalePayGapsByOccupationalSeriesAndRacialEthnicGroup[[#This Row],[AIAN Female Employees]]/I$318,"")</f>
        <v/>
      </c>
      <c r="I243" t="s">
        <v>0</v>
      </c>
      <c r="J243" s="6" t="s">
        <v>0</v>
      </c>
      <c r="K243" s="52" t="str">
        <f>IFERROR(FemalePayGapsByOccupationalSeriesAndRacialEthnicGroup[[#This Row],[AIAN Female Avg Salary]]/FemalePayGapsByOccupationalSeriesAndRacialEthnicGroup[[#This Row],[White Male Average Salary]],"")</f>
        <v/>
      </c>
      <c r="L243" s="10" t="str">
        <f>IFERROR(FemalePayGapsByOccupationalSeriesAndRacialEthnicGroup[[#This Row],[ANHPI Female Employees]]/M$318,"")</f>
        <v/>
      </c>
      <c r="M243" s="8" t="s">
        <v>0</v>
      </c>
      <c r="N243" s="6" t="s">
        <v>0</v>
      </c>
      <c r="O243" s="52" t="str">
        <f>IFERROR(FemalePayGapsByOccupationalSeriesAndRacialEthnicGroup[[#This Row],[ANHPI Female Avg Salary]]/FemalePayGapsByOccupationalSeriesAndRacialEthnicGroup[[#This Row],[White Male Average Salary]],"")</f>
        <v/>
      </c>
      <c r="P243" s="10" t="str">
        <f>IFERROR(FemalePayGapsByOccupationalSeriesAndRacialEthnicGroup[[#This Row],[Black Female Employees]]/Q$318,"")</f>
        <v/>
      </c>
      <c r="Q243" s="8" t="s">
        <v>0</v>
      </c>
      <c r="R243" s="6" t="s">
        <v>0</v>
      </c>
      <c r="S243" s="52" t="str">
        <f>IFERROR(FemalePayGapsByOccupationalSeriesAndRacialEthnicGroup[[#This Row],[Black Female Avg Salary]]/FemalePayGapsByOccupationalSeriesAndRacialEthnicGroup[[#This Row],[White Male Average Salary]],"")</f>
        <v/>
      </c>
      <c r="T243" s="10" t="str">
        <f>IFERROR(FemalePayGapsByOccupationalSeriesAndRacialEthnicGroup[[#This Row],[Hispanic Latino Female Employees]]/U$318,"")</f>
        <v/>
      </c>
      <c r="U243" s="8" t="s">
        <v>0</v>
      </c>
      <c r="V243" s="47" t="s">
        <v>0</v>
      </c>
      <c r="W24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43" s="10" t="str">
        <f>IFERROR(FemalePayGapsByOccupationalSeriesAndRacialEthnicGroup[[#This Row],[Other Female Employees]]/Y$318,"")</f>
        <v/>
      </c>
      <c r="Y243" s="8" t="s">
        <v>0</v>
      </c>
      <c r="Z243" s="6" t="s">
        <v>0</v>
      </c>
      <c r="AA24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44" spans="1:27" ht="15.6" x14ac:dyDescent="0.3">
      <c r="A244" s="45" t="s">
        <v>253</v>
      </c>
      <c r="B244" s="38">
        <v>305</v>
      </c>
      <c r="C244" s="39">
        <v>130446.76065573801</v>
      </c>
      <c r="D244" s="69">
        <f>IFERROR(FemalePayGapsByOccupationalSeriesAndRacialEthnicGroup[[#This Row],[White Female Employees]]/E$318,"")</f>
        <v>1.8400956849756188E-4</v>
      </c>
      <c r="E244" s="67">
        <v>84</v>
      </c>
      <c r="F244" s="64">
        <v>132926.13095238101</v>
      </c>
      <c r="G244" s="72">
        <f>IFERROR(FemalePayGapsByOccupationalSeriesAndRacialEthnicGroup[[#This Row],[White Female Avg Salary]]/FemalePayGapsByOccupationalSeriesAndRacialEthnicGroup[[#This Row],[White Male Average Salary]],"")</f>
        <v>1.0190067601846113</v>
      </c>
      <c r="H244" s="10" t="str">
        <f>IFERROR(FemalePayGapsByOccupationalSeriesAndRacialEthnicGroup[[#This Row],[AIAN Female Employees]]/I$318,"")</f>
        <v/>
      </c>
      <c r="I244" t="s">
        <v>0</v>
      </c>
      <c r="J244" s="6" t="s">
        <v>0</v>
      </c>
      <c r="K244" s="52" t="str">
        <f>IFERROR(FemalePayGapsByOccupationalSeriesAndRacialEthnicGroup[[#This Row],[AIAN Female Avg Salary]]/FemalePayGapsByOccupationalSeriesAndRacialEthnicGroup[[#This Row],[White Male Average Salary]],"")</f>
        <v/>
      </c>
      <c r="L244" s="10" t="str">
        <f>IFERROR(FemalePayGapsByOccupationalSeriesAndRacialEthnicGroup[[#This Row],[ANHPI Female Employees]]/M$318,"")</f>
        <v/>
      </c>
      <c r="M244" s="8" t="s">
        <v>0</v>
      </c>
      <c r="N244" s="6" t="s">
        <v>0</v>
      </c>
      <c r="O244" s="52" t="str">
        <f>IFERROR(FemalePayGapsByOccupationalSeriesAndRacialEthnicGroup[[#This Row],[ANHPI Female Avg Salary]]/FemalePayGapsByOccupationalSeriesAndRacialEthnicGroup[[#This Row],[White Male Average Salary]],"")</f>
        <v/>
      </c>
      <c r="P244" s="10" t="str">
        <f>IFERROR(FemalePayGapsByOccupationalSeriesAndRacialEthnicGroup[[#This Row],[Black Female Employees]]/Q$318,"")</f>
        <v/>
      </c>
      <c r="Q244" s="8" t="s">
        <v>0</v>
      </c>
      <c r="R244" s="6" t="s">
        <v>0</v>
      </c>
      <c r="S244" s="52" t="str">
        <f>IFERROR(FemalePayGapsByOccupationalSeriesAndRacialEthnicGroup[[#This Row],[Black Female Avg Salary]]/FemalePayGapsByOccupationalSeriesAndRacialEthnicGroup[[#This Row],[White Male Average Salary]],"")</f>
        <v/>
      </c>
      <c r="T244" s="10" t="str">
        <f>IFERROR(FemalePayGapsByOccupationalSeriesAndRacialEthnicGroup[[#This Row],[Hispanic Latino Female Employees]]/U$318,"")</f>
        <v/>
      </c>
      <c r="U244" s="8" t="s">
        <v>0</v>
      </c>
      <c r="V244" s="47" t="s">
        <v>0</v>
      </c>
      <c r="W24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44" s="10" t="str">
        <f>IFERROR(FemalePayGapsByOccupationalSeriesAndRacialEthnicGroup[[#This Row],[Other Female Employees]]/Y$318,"")</f>
        <v/>
      </c>
      <c r="Y244" s="8" t="s">
        <v>0</v>
      </c>
      <c r="Z244" s="6" t="s">
        <v>0</v>
      </c>
      <c r="AA24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45" spans="1:27" ht="15.6" x14ac:dyDescent="0.3">
      <c r="A245" s="46" t="s">
        <v>254</v>
      </c>
      <c r="B245" s="40">
        <v>323</v>
      </c>
      <c r="C245" s="41">
        <v>105837.10216718299</v>
      </c>
      <c r="D245" s="70">
        <f>IFERROR(FemalePayGapsByOccupationalSeriesAndRacialEthnicGroup[[#This Row],[White Female Employees]]/E$318,"")</f>
        <v>3.5268500628699359E-4</v>
      </c>
      <c r="E245" s="16">
        <v>161</v>
      </c>
      <c r="F245" s="17">
        <v>97923.124223602004</v>
      </c>
      <c r="G245" s="18">
        <f>IFERROR(FemalePayGapsByOccupationalSeriesAndRacialEthnicGroup[[#This Row],[White Female Avg Salary]]/FemalePayGapsByOccupationalSeriesAndRacialEthnicGroup[[#This Row],[White Male Average Salary]],"")</f>
        <v>0.92522491846876276</v>
      </c>
      <c r="H245" s="10" t="str">
        <f>IFERROR(FemalePayGapsByOccupationalSeriesAndRacialEthnicGroup[[#This Row],[AIAN Female Employees]]/I$318,"")</f>
        <v/>
      </c>
      <c r="I245" t="s">
        <v>0</v>
      </c>
      <c r="J245" s="6" t="s">
        <v>0</v>
      </c>
      <c r="K245" s="52" t="str">
        <f>IFERROR(FemalePayGapsByOccupationalSeriesAndRacialEthnicGroup[[#This Row],[AIAN Female Avg Salary]]/FemalePayGapsByOccupationalSeriesAndRacialEthnicGroup[[#This Row],[White Male Average Salary]],"")</f>
        <v/>
      </c>
      <c r="L245" s="10" t="str">
        <f>IFERROR(FemalePayGapsByOccupationalSeriesAndRacialEthnicGroup[[#This Row],[ANHPI Female Employees]]/M$318,"")</f>
        <v/>
      </c>
      <c r="M245" s="8" t="s">
        <v>0</v>
      </c>
      <c r="N245" s="6" t="s">
        <v>0</v>
      </c>
      <c r="O245" s="52" t="str">
        <f>IFERROR(FemalePayGapsByOccupationalSeriesAndRacialEthnicGroup[[#This Row],[ANHPI Female Avg Salary]]/FemalePayGapsByOccupationalSeriesAndRacialEthnicGroup[[#This Row],[White Male Average Salary]],"")</f>
        <v/>
      </c>
      <c r="P245" s="10" t="str">
        <f>IFERROR(FemalePayGapsByOccupationalSeriesAndRacialEthnicGroup[[#This Row],[Black Female Employees]]/Q$318,"")</f>
        <v/>
      </c>
      <c r="Q245" s="8" t="s">
        <v>0</v>
      </c>
      <c r="R245" s="6" t="s">
        <v>0</v>
      </c>
      <c r="S245" s="52" t="str">
        <f>IFERROR(FemalePayGapsByOccupationalSeriesAndRacialEthnicGroup[[#This Row],[Black Female Avg Salary]]/FemalePayGapsByOccupationalSeriesAndRacialEthnicGroup[[#This Row],[White Male Average Salary]],"")</f>
        <v/>
      </c>
      <c r="T245" s="10" t="str">
        <f>IFERROR(FemalePayGapsByOccupationalSeriesAndRacialEthnicGroup[[#This Row],[Hispanic Latino Female Employees]]/U$318,"")</f>
        <v/>
      </c>
      <c r="U245" s="8" t="s">
        <v>0</v>
      </c>
      <c r="V245" s="47" t="s">
        <v>0</v>
      </c>
      <c r="W24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45" s="10" t="str">
        <f>IFERROR(FemalePayGapsByOccupationalSeriesAndRacialEthnicGroup[[#This Row],[Other Female Employees]]/Y$318,"")</f>
        <v/>
      </c>
      <c r="Y245" s="8" t="s">
        <v>0</v>
      </c>
      <c r="Z245" s="6" t="s">
        <v>0</v>
      </c>
      <c r="AA24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46" spans="1:27" ht="15.6" x14ac:dyDescent="0.3">
      <c r="A246" s="45" t="s">
        <v>255</v>
      </c>
      <c r="B246" s="38">
        <v>126</v>
      </c>
      <c r="C246" s="39">
        <v>68637.912698412998</v>
      </c>
      <c r="D246" s="69">
        <f>IFERROR(FemalePayGapsByOccupationalSeriesAndRacialEthnicGroup[[#This Row],[White Female Employees]]/E$318,"")</f>
        <v>1.4019776647433287E-4</v>
      </c>
      <c r="E246" s="67">
        <v>64</v>
      </c>
      <c r="F246" s="64">
        <v>62467.109375</v>
      </c>
      <c r="G246" s="72">
        <f>IFERROR(FemalePayGapsByOccupationalSeriesAndRacialEthnicGroup[[#This Row],[White Female Avg Salary]]/FemalePayGapsByOccupationalSeriesAndRacialEthnicGroup[[#This Row],[White Male Average Salary]],"")</f>
        <v>0.91009628526253716</v>
      </c>
      <c r="H246" s="10" t="str">
        <f>IFERROR(FemalePayGapsByOccupationalSeriesAndRacialEthnicGroup[[#This Row],[AIAN Female Employees]]/I$318,"")</f>
        <v/>
      </c>
      <c r="I246" t="s">
        <v>0</v>
      </c>
      <c r="J246" s="6" t="s">
        <v>0</v>
      </c>
      <c r="K246" s="52" t="str">
        <f>IFERROR(FemalePayGapsByOccupationalSeriesAndRacialEthnicGroup[[#This Row],[AIAN Female Avg Salary]]/FemalePayGapsByOccupationalSeriesAndRacialEthnicGroup[[#This Row],[White Male Average Salary]],"")</f>
        <v/>
      </c>
      <c r="L246" s="10" t="str">
        <f>IFERROR(FemalePayGapsByOccupationalSeriesAndRacialEthnicGroup[[#This Row],[ANHPI Female Employees]]/M$318,"")</f>
        <v/>
      </c>
      <c r="M246" s="8" t="s">
        <v>0</v>
      </c>
      <c r="N246" s="6" t="s">
        <v>0</v>
      </c>
      <c r="O246" s="52" t="str">
        <f>IFERROR(FemalePayGapsByOccupationalSeriesAndRacialEthnicGroup[[#This Row],[ANHPI Female Avg Salary]]/FemalePayGapsByOccupationalSeriesAndRacialEthnicGroup[[#This Row],[White Male Average Salary]],"")</f>
        <v/>
      </c>
      <c r="P246" s="10" t="str">
        <f>IFERROR(FemalePayGapsByOccupationalSeriesAndRacialEthnicGroup[[#This Row],[Black Female Employees]]/Q$318,"")</f>
        <v/>
      </c>
      <c r="Q246" s="8" t="s">
        <v>0</v>
      </c>
      <c r="R246" s="6" t="s">
        <v>0</v>
      </c>
      <c r="S246" s="52" t="str">
        <f>IFERROR(FemalePayGapsByOccupationalSeriesAndRacialEthnicGroup[[#This Row],[Black Female Avg Salary]]/FemalePayGapsByOccupationalSeriesAndRacialEthnicGroup[[#This Row],[White Male Average Salary]],"")</f>
        <v/>
      </c>
      <c r="T246" s="10" t="str">
        <f>IFERROR(FemalePayGapsByOccupationalSeriesAndRacialEthnicGroup[[#This Row],[Hispanic Latino Female Employees]]/U$318,"")</f>
        <v/>
      </c>
      <c r="U246" s="8" t="s">
        <v>0</v>
      </c>
      <c r="V246" s="47" t="s">
        <v>0</v>
      </c>
      <c r="W24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46" s="10" t="str">
        <f>IFERROR(FemalePayGapsByOccupationalSeriesAndRacialEthnicGroup[[#This Row],[Other Female Employees]]/Y$318,"")</f>
        <v/>
      </c>
      <c r="Y246" s="8" t="s">
        <v>0</v>
      </c>
      <c r="Z246" s="6" t="s">
        <v>0</v>
      </c>
      <c r="AA24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47" spans="1:27" ht="15.6" x14ac:dyDescent="0.3">
      <c r="A247" s="46" t="s">
        <v>256</v>
      </c>
      <c r="B247" s="40">
        <v>286</v>
      </c>
      <c r="C247" s="41">
        <v>92648.062937063005</v>
      </c>
      <c r="D247" s="70">
        <f>IFERROR(FemalePayGapsByOccupationalSeriesAndRacialEthnicGroup[[#This Row],[White Female Employees]]/E$318,"")</f>
        <v>6.5717703034843524E-5</v>
      </c>
      <c r="E247" s="16">
        <v>30</v>
      </c>
      <c r="F247" s="17">
        <v>92967.1</v>
      </c>
      <c r="G247" s="18">
        <f>IFERROR(FemalePayGapsByOccupationalSeriesAndRacialEthnicGroup[[#This Row],[White Female Avg Salary]]/FemalePayGapsByOccupationalSeriesAndRacialEthnicGroup[[#This Row],[White Male Average Salary]],"")</f>
        <v>1.0034435373263413</v>
      </c>
      <c r="H247" s="10" t="str">
        <f>IFERROR(FemalePayGapsByOccupationalSeriesAndRacialEthnicGroup[[#This Row],[AIAN Female Employees]]/I$318,"")</f>
        <v/>
      </c>
      <c r="I247" t="s">
        <v>0</v>
      </c>
      <c r="J247" s="6" t="s">
        <v>0</v>
      </c>
      <c r="K247" s="52" t="str">
        <f>IFERROR(FemalePayGapsByOccupationalSeriesAndRacialEthnicGroup[[#This Row],[AIAN Female Avg Salary]]/FemalePayGapsByOccupationalSeriesAndRacialEthnicGroup[[#This Row],[White Male Average Salary]],"")</f>
        <v/>
      </c>
      <c r="L247" s="10" t="str">
        <f>IFERROR(FemalePayGapsByOccupationalSeriesAndRacialEthnicGroup[[#This Row],[ANHPI Female Employees]]/M$318,"")</f>
        <v/>
      </c>
      <c r="M247" s="8" t="s">
        <v>0</v>
      </c>
      <c r="N247" s="6" t="s">
        <v>0</v>
      </c>
      <c r="O247" s="52" t="str">
        <f>IFERROR(FemalePayGapsByOccupationalSeriesAndRacialEthnicGroup[[#This Row],[ANHPI Female Avg Salary]]/FemalePayGapsByOccupationalSeriesAndRacialEthnicGroup[[#This Row],[White Male Average Salary]],"")</f>
        <v/>
      </c>
      <c r="P247" s="10" t="str">
        <f>IFERROR(FemalePayGapsByOccupationalSeriesAndRacialEthnicGroup[[#This Row],[Black Female Employees]]/Q$318,"")</f>
        <v/>
      </c>
      <c r="Q247" s="8" t="s">
        <v>0</v>
      </c>
      <c r="R247" s="6" t="s">
        <v>0</v>
      </c>
      <c r="S247" s="52" t="str">
        <f>IFERROR(FemalePayGapsByOccupationalSeriesAndRacialEthnicGroup[[#This Row],[Black Female Avg Salary]]/FemalePayGapsByOccupationalSeriesAndRacialEthnicGroup[[#This Row],[White Male Average Salary]],"")</f>
        <v/>
      </c>
      <c r="T247" s="10" t="str">
        <f>IFERROR(FemalePayGapsByOccupationalSeriesAndRacialEthnicGroup[[#This Row],[Hispanic Latino Female Employees]]/U$318,"")</f>
        <v/>
      </c>
      <c r="U247" s="8" t="s">
        <v>0</v>
      </c>
      <c r="V247" s="47" t="s">
        <v>0</v>
      </c>
      <c r="W24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47" s="10" t="str">
        <f>IFERROR(FemalePayGapsByOccupationalSeriesAndRacialEthnicGroup[[#This Row],[Other Female Employees]]/Y$318,"")</f>
        <v/>
      </c>
      <c r="Y247" s="8" t="s">
        <v>0</v>
      </c>
      <c r="Z247" s="6" t="s">
        <v>0</v>
      </c>
      <c r="AA24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48" spans="1:27" ht="15.6" x14ac:dyDescent="0.3">
      <c r="A248" s="45" t="s">
        <v>257</v>
      </c>
      <c r="B248" s="38">
        <v>197</v>
      </c>
      <c r="C248" s="39">
        <v>105167.324873096</v>
      </c>
      <c r="D248" s="69">
        <f>IFERROR(FemalePayGapsByOccupationalSeriesAndRacialEthnicGroup[[#This Row],[White Female Employees]]/E$318,"")</f>
        <v>1.0471020683551736E-3</v>
      </c>
      <c r="E248" s="67">
        <v>478</v>
      </c>
      <c r="F248" s="64">
        <v>104618.625523013</v>
      </c>
      <c r="G248" s="72">
        <f>IFERROR(FemalePayGapsByOccupationalSeriesAndRacialEthnicGroup[[#This Row],[White Female Avg Salary]]/FemalePayGapsByOccupationalSeriesAndRacialEthnicGroup[[#This Row],[White Male Average Salary]],"")</f>
        <v>0.99478260618737702</v>
      </c>
      <c r="H248" s="10" t="str">
        <f>IFERROR(FemalePayGapsByOccupationalSeriesAndRacialEthnicGroup[[#This Row],[AIAN Female Employees]]/I$318,"")</f>
        <v/>
      </c>
      <c r="I248" t="s">
        <v>0</v>
      </c>
      <c r="J248" s="6" t="s">
        <v>0</v>
      </c>
      <c r="K248" s="52" t="str">
        <f>IFERROR(FemalePayGapsByOccupationalSeriesAndRacialEthnicGroup[[#This Row],[AIAN Female Avg Salary]]/FemalePayGapsByOccupationalSeriesAndRacialEthnicGroup[[#This Row],[White Male Average Salary]],"")</f>
        <v/>
      </c>
      <c r="L248" s="10" t="str">
        <f>IFERROR(FemalePayGapsByOccupationalSeriesAndRacialEthnicGroup[[#This Row],[ANHPI Female Employees]]/M$318,"")</f>
        <v/>
      </c>
      <c r="M248" s="8" t="s">
        <v>0</v>
      </c>
      <c r="N248" s="6" t="s">
        <v>0</v>
      </c>
      <c r="O248" s="52" t="str">
        <f>IFERROR(FemalePayGapsByOccupationalSeriesAndRacialEthnicGroup[[#This Row],[ANHPI Female Avg Salary]]/FemalePayGapsByOccupationalSeriesAndRacialEthnicGroup[[#This Row],[White Male Average Salary]],"")</f>
        <v/>
      </c>
      <c r="P248" s="10" t="str">
        <f>IFERROR(FemalePayGapsByOccupationalSeriesAndRacialEthnicGroup[[#This Row],[Black Female Employees]]/Q$318,"")</f>
        <v/>
      </c>
      <c r="Q248" s="8" t="s">
        <v>0</v>
      </c>
      <c r="R248" s="6" t="s">
        <v>0</v>
      </c>
      <c r="S248" s="52" t="str">
        <f>IFERROR(FemalePayGapsByOccupationalSeriesAndRacialEthnicGroup[[#This Row],[Black Female Avg Salary]]/FemalePayGapsByOccupationalSeriesAndRacialEthnicGroup[[#This Row],[White Male Average Salary]],"")</f>
        <v/>
      </c>
      <c r="T248" s="10" t="str">
        <f>IFERROR(FemalePayGapsByOccupationalSeriesAndRacialEthnicGroup[[#This Row],[Hispanic Latino Female Employees]]/U$318,"")</f>
        <v/>
      </c>
      <c r="U248" s="8" t="s">
        <v>0</v>
      </c>
      <c r="V248" s="47" t="s">
        <v>0</v>
      </c>
      <c r="W24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48" s="10" t="str">
        <f>IFERROR(FemalePayGapsByOccupationalSeriesAndRacialEthnicGroup[[#This Row],[Other Female Employees]]/Y$318,"")</f>
        <v/>
      </c>
      <c r="Y248" s="8" t="s">
        <v>0</v>
      </c>
      <c r="Z248" s="6" t="s">
        <v>0</v>
      </c>
      <c r="AA24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49" spans="1:27" ht="15.6" x14ac:dyDescent="0.3">
      <c r="A249" s="46" t="s">
        <v>258</v>
      </c>
      <c r="B249" s="40">
        <v>80</v>
      </c>
      <c r="C249" s="41">
        <v>57454.175000000003</v>
      </c>
      <c r="D249" s="70">
        <f>IFERROR(FemalePayGapsByOccupationalSeriesAndRacialEthnicGroup[[#This Row],[White Female Employees]]/E$318,"")</f>
        <v>3.2639792507305616E-4</v>
      </c>
      <c r="E249" s="16">
        <v>149</v>
      </c>
      <c r="F249" s="17">
        <v>55207.912751677999</v>
      </c>
      <c r="G249" s="18">
        <f>IFERROR(FemalePayGapsByOccupationalSeriesAndRacialEthnicGroup[[#This Row],[White Female Avg Salary]]/FemalePayGapsByOccupationalSeriesAndRacialEthnicGroup[[#This Row],[White Male Average Salary]],"")</f>
        <v>0.96090341131306811</v>
      </c>
      <c r="H249" s="10" t="str">
        <f>IFERROR(FemalePayGapsByOccupationalSeriesAndRacialEthnicGroup[[#This Row],[AIAN Female Employees]]/I$318,"")</f>
        <v/>
      </c>
      <c r="I249" t="s">
        <v>0</v>
      </c>
      <c r="J249" s="6" t="s">
        <v>0</v>
      </c>
      <c r="K249" s="52" t="str">
        <f>IFERROR(FemalePayGapsByOccupationalSeriesAndRacialEthnicGroup[[#This Row],[AIAN Female Avg Salary]]/FemalePayGapsByOccupationalSeriesAndRacialEthnicGroup[[#This Row],[White Male Average Salary]],"")</f>
        <v/>
      </c>
      <c r="L249" s="10" t="str">
        <f>IFERROR(FemalePayGapsByOccupationalSeriesAndRacialEthnicGroup[[#This Row],[ANHPI Female Employees]]/M$318,"")</f>
        <v/>
      </c>
      <c r="M249" s="8" t="s">
        <v>0</v>
      </c>
      <c r="N249" s="6" t="s">
        <v>0</v>
      </c>
      <c r="O249" s="52" t="str">
        <f>IFERROR(FemalePayGapsByOccupationalSeriesAndRacialEthnicGroup[[#This Row],[ANHPI Female Avg Salary]]/FemalePayGapsByOccupationalSeriesAndRacialEthnicGroup[[#This Row],[White Male Average Salary]],"")</f>
        <v/>
      </c>
      <c r="P249" s="10" t="str">
        <f>IFERROR(FemalePayGapsByOccupationalSeriesAndRacialEthnicGroup[[#This Row],[Black Female Employees]]/Q$318,"")</f>
        <v/>
      </c>
      <c r="Q249" s="8" t="s">
        <v>0</v>
      </c>
      <c r="R249" s="6" t="s">
        <v>0</v>
      </c>
      <c r="S249" s="52" t="str">
        <f>IFERROR(FemalePayGapsByOccupationalSeriesAndRacialEthnicGroup[[#This Row],[Black Female Avg Salary]]/FemalePayGapsByOccupationalSeriesAndRacialEthnicGroup[[#This Row],[White Male Average Salary]],"")</f>
        <v/>
      </c>
      <c r="T249" s="10" t="str">
        <f>IFERROR(FemalePayGapsByOccupationalSeriesAndRacialEthnicGroup[[#This Row],[Hispanic Latino Female Employees]]/U$318,"")</f>
        <v/>
      </c>
      <c r="U249" s="8" t="s">
        <v>0</v>
      </c>
      <c r="V249" s="47" t="s">
        <v>0</v>
      </c>
      <c r="W24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49" s="10" t="str">
        <f>IFERROR(FemalePayGapsByOccupationalSeriesAndRacialEthnicGroup[[#This Row],[Other Female Employees]]/Y$318,"")</f>
        <v/>
      </c>
      <c r="Y249" s="8" t="s">
        <v>0</v>
      </c>
      <c r="Z249" s="6" t="s">
        <v>0</v>
      </c>
      <c r="AA24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50" spans="1:27" ht="15.6" x14ac:dyDescent="0.3">
      <c r="A250" s="45" t="s">
        <v>259</v>
      </c>
      <c r="B250" s="38">
        <v>169</v>
      </c>
      <c r="C250" s="39">
        <v>106076.00591716</v>
      </c>
      <c r="D250" s="69">
        <f>IFERROR(FemalePayGapsByOccupationalSeriesAndRacialEthnicGroup[[#This Row],[White Female Employees]]/E$318,"")</f>
        <v>5.9584050751591464E-4</v>
      </c>
      <c r="E250" s="67">
        <v>272</v>
      </c>
      <c r="F250" s="64">
        <v>107537.74632352901</v>
      </c>
      <c r="G250" s="72">
        <f>IFERROR(FemalePayGapsByOccupationalSeriesAndRacialEthnicGroup[[#This Row],[White Female Avg Salary]]/FemalePayGapsByOccupationalSeriesAndRacialEthnicGroup[[#This Row],[White Male Average Salary]],"")</f>
        <v>1.0137801229762606</v>
      </c>
      <c r="H250" s="10" t="str">
        <f>IFERROR(FemalePayGapsByOccupationalSeriesAndRacialEthnicGroup[[#This Row],[AIAN Female Employees]]/I$318,"")</f>
        <v/>
      </c>
      <c r="I250" t="s">
        <v>0</v>
      </c>
      <c r="J250" s="6" t="s">
        <v>0</v>
      </c>
      <c r="K250" s="52" t="str">
        <f>IFERROR(FemalePayGapsByOccupationalSeriesAndRacialEthnicGroup[[#This Row],[AIAN Female Avg Salary]]/FemalePayGapsByOccupationalSeriesAndRacialEthnicGroup[[#This Row],[White Male Average Salary]],"")</f>
        <v/>
      </c>
      <c r="L250" s="10" t="str">
        <f>IFERROR(FemalePayGapsByOccupationalSeriesAndRacialEthnicGroup[[#This Row],[ANHPI Female Employees]]/M$318,"")</f>
        <v/>
      </c>
      <c r="M250" s="8" t="s">
        <v>0</v>
      </c>
      <c r="N250" s="6" t="s">
        <v>0</v>
      </c>
      <c r="O250" s="52" t="str">
        <f>IFERROR(FemalePayGapsByOccupationalSeriesAndRacialEthnicGroup[[#This Row],[ANHPI Female Avg Salary]]/FemalePayGapsByOccupationalSeriesAndRacialEthnicGroup[[#This Row],[White Male Average Salary]],"")</f>
        <v/>
      </c>
      <c r="P250" s="10">
        <f>IFERROR(FemalePayGapsByOccupationalSeriesAndRacialEthnicGroup[[#This Row],[Black Female Employees]]/Q$318,"")</f>
        <v>3.5643846683934132E-4</v>
      </c>
      <c r="Q250" s="8">
        <v>75</v>
      </c>
      <c r="R250" s="6">
        <v>103183.05333333299</v>
      </c>
      <c r="S250" s="52">
        <f>IFERROR(FemalePayGapsByOccupationalSeriesAndRacialEthnicGroup[[#This Row],[Black Female Avg Salary]]/FemalePayGapsByOccupationalSeriesAndRacialEthnicGroup[[#This Row],[White Male Average Salary]],"")</f>
        <v>0.97272754984679333</v>
      </c>
      <c r="T250" s="10" t="str">
        <f>IFERROR(FemalePayGapsByOccupationalSeriesAndRacialEthnicGroup[[#This Row],[Hispanic Latino Female Employees]]/U$318,"")</f>
        <v/>
      </c>
      <c r="U250" s="8" t="s">
        <v>0</v>
      </c>
      <c r="V250" s="47" t="s">
        <v>0</v>
      </c>
      <c r="W25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50" s="10" t="str">
        <f>IFERROR(FemalePayGapsByOccupationalSeriesAndRacialEthnicGroup[[#This Row],[Other Female Employees]]/Y$318,"")</f>
        <v/>
      </c>
      <c r="Y250" s="8" t="s">
        <v>0</v>
      </c>
      <c r="Z250" s="6" t="s">
        <v>0</v>
      </c>
      <c r="AA25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51" spans="1:27" ht="15.6" x14ac:dyDescent="0.3">
      <c r="A251" s="46" t="s">
        <v>260</v>
      </c>
      <c r="B251" s="40">
        <v>198</v>
      </c>
      <c r="C251" s="41">
        <v>107210.055555556</v>
      </c>
      <c r="D251" s="70">
        <f>IFERROR(FemalePayGapsByOccupationalSeriesAndRacialEthnicGroup[[#This Row],[White Female Employees]]/E$318,"")</f>
        <v>4.9069218266016503E-4</v>
      </c>
      <c r="E251" s="16">
        <v>224</v>
      </c>
      <c r="F251" s="17">
        <v>101547.066964286</v>
      </c>
      <c r="G251" s="18">
        <f>IFERROR(FemalePayGapsByOccupationalSeriesAndRacialEthnicGroup[[#This Row],[White Female Avg Salary]]/FemalePayGapsByOccupationalSeriesAndRacialEthnicGroup[[#This Row],[White Male Average Salary]],"")</f>
        <v>0.94717856863402661</v>
      </c>
      <c r="H251" s="10" t="str">
        <f>IFERROR(FemalePayGapsByOccupationalSeriesAndRacialEthnicGroup[[#This Row],[AIAN Female Employees]]/I$318,"")</f>
        <v/>
      </c>
      <c r="I251" t="s">
        <v>0</v>
      </c>
      <c r="J251" s="6" t="s">
        <v>0</v>
      </c>
      <c r="K251" s="52" t="str">
        <f>IFERROR(FemalePayGapsByOccupationalSeriesAndRacialEthnicGroup[[#This Row],[AIAN Female Avg Salary]]/FemalePayGapsByOccupationalSeriesAndRacialEthnicGroup[[#This Row],[White Male Average Salary]],"")</f>
        <v/>
      </c>
      <c r="L251" s="10" t="str">
        <f>IFERROR(FemalePayGapsByOccupationalSeriesAndRacialEthnicGroup[[#This Row],[ANHPI Female Employees]]/M$318,"")</f>
        <v/>
      </c>
      <c r="M251" s="8" t="s">
        <v>0</v>
      </c>
      <c r="N251" s="6" t="s">
        <v>0</v>
      </c>
      <c r="O251" s="52" t="str">
        <f>IFERROR(FemalePayGapsByOccupationalSeriesAndRacialEthnicGroup[[#This Row],[ANHPI Female Avg Salary]]/FemalePayGapsByOccupationalSeriesAndRacialEthnicGroup[[#This Row],[White Male Average Salary]],"")</f>
        <v/>
      </c>
      <c r="P251" s="10" t="str">
        <f>IFERROR(FemalePayGapsByOccupationalSeriesAndRacialEthnicGroup[[#This Row],[Black Female Employees]]/Q$318,"")</f>
        <v/>
      </c>
      <c r="Q251" s="8" t="s">
        <v>0</v>
      </c>
      <c r="R251" s="6" t="s">
        <v>0</v>
      </c>
      <c r="S251" s="52" t="str">
        <f>IFERROR(FemalePayGapsByOccupationalSeriesAndRacialEthnicGroup[[#This Row],[Black Female Avg Salary]]/FemalePayGapsByOccupationalSeriesAndRacialEthnicGroup[[#This Row],[White Male Average Salary]],"")</f>
        <v/>
      </c>
      <c r="T251" s="10" t="str">
        <f>IFERROR(FemalePayGapsByOccupationalSeriesAndRacialEthnicGroup[[#This Row],[Hispanic Latino Female Employees]]/U$318,"")</f>
        <v/>
      </c>
      <c r="U251" s="8" t="s">
        <v>0</v>
      </c>
      <c r="V251" s="47" t="s">
        <v>0</v>
      </c>
      <c r="W25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51" s="10" t="str">
        <f>IFERROR(FemalePayGapsByOccupationalSeriesAndRacialEthnicGroup[[#This Row],[Other Female Employees]]/Y$318,"")</f>
        <v/>
      </c>
      <c r="Y251" s="8" t="s">
        <v>0</v>
      </c>
      <c r="Z251" s="6" t="s">
        <v>0</v>
      </c>
      <c r="AA25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52" spans="1:27" ht="15.6" x14ac:dyDescent="0.3">
      <c r="A252" s="45" t="s">
        <v>261</v>
      </c>
      <c r="B252" s="38">
        <v>394</v>
      </c>
      <c r="C252" s="39">
        <v>62382.025380710998</v>
      </c>
      <c r="D252" s="69">
        <f>IFERROR(FemalePayGapsByOccupationalSeriesAndRacialEthnicGroup[[#This Row],[White Female Employees]]/E$318,"")</f>
        <v>7.3384768388908602E-4</v>
      </c>
      <c r="E252" s="67">
        <v>335</v>
      </c>
      <c r="F252" s="64">
        <v>62808.865671642001</v>
      </c>
      <c r="G252" s="72">
        <f>IFERROR(FemalePayGapsByOccupationalSeriesAndRacialEthnicGroup[[#This Row],[White Female Avg Salary]]/FemalePayGapsByOccupationalSeriesAndRacialEthnicGroup[[#This Row],[White Male Average Salary]],"")</f>
        <v>1.0068423602524292</v>
      </c>
      <c r="H252" s="10" t="str">
        <f>IFERROR(FemalePayGapsByOccupationalSeriesAndRacialEthnicGroup[[#This Row],[AIAN Female Employees]]/I$318,"")</f>
        <v/>
      </c>
      <c r="I252" t="s">
        <v>0</v>
      </c>
      <c r="J252" s="6" t="s">
        <v>0</v>
      </c>
      <c r="K252" s="52" t="str">
        <f>IFERROR(FemalePayGapsByOccupationalSeriesAndRacialEthnicGroup[[#This Row],[AIAN Female Avg Salary]]/FemalePayGapsByOccupationalSeriesAndRacialEthnicGroup[[#This Row],[White Male Average Salary]],"")</f>
        <v/>
      </c>
      <c r="L252" s="10" t="str">
        <f>IFERROR(FemalePayGapsByOccupationalSeriesAndRacialEthnicGroup[[#This Row],[ANHPI Female Employees]]/M$318,"")</f>
        <v/>
      </c>
      <c r="M252" s="8" t="s">
        <v>0</v>
      </c>
      <c r="N252" s="6" t="s">
        <v>0</v>
      </c>
      <c r="O252" s="52" t="str">
        <f>IFERROR(FemalePayGapsByOccupationalSeriesAndRacialEthnicGroup[[#This Row],[ANHPI Female Avg Salary]]/FemalePayGapsByOccupationalSeriesAndRacialEthnicGroup[[#This Row],[White Male Average Salary]],"")</f>
        <v/>
      </c>
      <c r="P252" s="10">
        <f>IFERROR(FemalePayGapsByOccupationalSeriesAndRacialEthnicGroup[[#This Row],[Black Female Employees]]/Q$318,"")</f>
        <v>1.2736734548392463E-3</v>
      </c>
      <c r="Q252" s="8">
        <v>268</v>
      </c>
      <c r="R252" s="6">
        <v>54097.996268657</v>
      </c>
      <c r="S252" s="52">
        <f>IFERROR(FemalePayGapsByOccupationalSeriesAndRacialEthnicGroup[[#This Row],[Black Female Avg Salary]]/FemalePayGapsByOccupationalSeriesAndRacialEthnicGroup[[#This Row],[White Male Average Salary]],"")</f>
        <v>0.86720487093040932</v>
      </c>
      <c r="T252" s="10" t="str">
        <f>IFERROR(FemalePayGapsByOccupationalSeriesAndRacialEthnicGroup[[#This Row],[Hispanic Latino Female Employees]]/U$318,"")</f>
        <v/>
      </c>
      <c r="U252" s="8" t="s">
        <v>0</v>
      </c>
      <c r="V252" s="47" t="s">
        <v>0</v>
      </c>
      <c r="W25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52" s="10" t="str">
        <f>IFERROR(FemalePayGapsByOccupationalSeriesAndRacialEthnicGroup[[#This Row],[Other Female Employees]]/Y$318,"")</f>
        <v/>
      </c>
      <c r="Y252" s="8" t="s">
        <v>0</v>
      </c>
      <c r="Z252" s="6" t="s">
        <v>0</v>
      </c>
      <c r="AA25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53" spans="1:27" ht="15.6" x14ac:dyDescent="0.3">
      <c r="A253" s="46" t="s">
        <v>327</v>
      </c>
      <c r="B253" s="40">
        <v>72</v>
      </c>
      <c r="C253" s="41">
        <v>157140.15277777801</v>
      </c>
      <c r="D253" s="70">
        <f>IFERROR(FemalePayGapsByOccupationalSeriesAndRacialEthnicGroup[[#This Row],[White Female Employees]]/E$318,"")</f>
        <v>7.6670653540650779E-5</v>
      </c>
      <c r="E253" s="16">
        <v>35</v>
      </c>
      <c r="F253" s="17">
        <v>133027.628571429</v>
      </c>
      <c r="G253" s="18">
        <f>IFERROR(FemalePayGapsByOccupationalSeriesAndRacialEthnicGroup[[#This Row],[White Female Avg Salary]]/FemalePayGapsByOccupationalSeriesAndRacialEthnicGroup[[#This Row],[White Male Average Salary]],"")</f>
        <v>0.84655402339815666</v>
      </c>
      <c r="H253" s="10" t="str">
        <f>IFERROR(FemalePayGapsByOccupationalSeriesAndRacialEthnicGroup[[#This Row],[AIAN Female Employees]]/I$318,"")</f>
        <v/>
      </c>
      <c r="I253" t="s">
        <v>0</v>
      </c>
      <c r="J253" s="6" t="s">
        <v>0</v>
      </c>
      <c r="K253" s="52" t="str">
        <f>IFERROR(FemalePayGapsByOccupationalSeriesAndRacialEthnicGroup[[#This Row],[AIAN Female Avg Salary]]/FemalePayGapsByOccupationalSeriesAndRacialEthnicGroup[[#This Row],[White Male Average Salary]],"")</f>
        <v/>
      </c>
      <c r="L253" s="10" t="str">
        <f>IFERROR(FemalePayGapsByOccupationalSeriesAndRacialEthnicGroup[[#This Row],[ANHPI Female Employees]]/M$318,"")</f>
        <v/>
      </c>
      <c r="M253" s="8" t="s">
        <v>0</v>
      </c>
      <c r="N253" s="6" t="s">
        <v>0</v>
      </c>
      <c r="O253" s="52" t="str">
        <f>IFERROR(FemalePayGapsByOccupationalSeriesAndRacialEthnicGroup[[#This Row],[ANHPI Female Avg Salary]]/FemalePayGapsByOccupationalSeriesAndRacialEthnicGroup[[#This Row],[White Male Average Salary]],"")</f>
        <v/>
      </c>
      <c r="P253" s="10" t="str">
        <f>IFERROR(FemalePayGapsByOccupationalSeriesAndRacialEthnicGroup[[#This Row],[Black Female Employees]]/Q$318,"")</f>
        <v/>
      </c>
      <c r="Q253" s="8" t="s">
        <v>0</v>
      </c>
      <c r="R253" s="6" t="s">
        <v>0</v>
      </c>
      <c r="S253" s="52" t="str">
        <f>IFERROR(FemalePayGapsByOccupationalSeriesAndRacialEthnicGroup[[#This Row],[Black Female Avg Salary]]/FemalePayGapsByOccupationalSeriesAndRacialEthnicGroup[[#This Row],[White Male Average Salary]],"")</f>
        <v/>
      </c>
      <c r="T253" s="10" t="str">
        <f>IFERROR(FemalePayGapsByOccupationalSeriesAndRacialEthnicGroup[[#This Row],[Hispanic Latino Female Employees]]/U$318,"")</f>
        <v/>
      </c>
      <c r="U253" s="8" t="s">
        <v>0</v>
      </c>
      <c r="V253" s="47" t="s">
        <v>0</v>
      </c>
      <c r="W25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53" s="10" t="str">
        <f>IFERROR(FemalePayGapsByOccupationalSeriesAndRacialEthnicGroup[[#This Row],[Other Female Employees]]/Y$318,"")</f>
        <v/>
      </c>
      <c r="Y253" s="8" t="s">
        <v>0</v>
      </c>
      <c r="Z253" s="6" t="s">
        <v>0</v>
      </c>
      <c r="AA25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54" spans="1:27" ht="15.6" x14ac:dyDescent="0.3">
      <c r="A254" s="45" t="s">
        <v>262</v>
      </c>
      <c r="B254" s="38">
        <v>135</v>
      </c>
      <c r="C254" s="39">
        <v>146389.274074074</v>
      </c>
      <c r="D254" s="69">
        <f>IFERROR(FemalePayGapsByOccupationalSeriesAndRacialEthnicGroup[[#This Row],[White Female Employees]]/E$318,"")</f>
        <v>1.3362599617084851E-4</v>
      </c>
      <c r="E254" s="67">
        <v>61</v>
      </c>
      <c r="F254" s="64">
        <v>145652.18032786899</v>
      </c>
      <c r="G254" s="72">
        <f>IFERROR(FemalePayGapsByOccupationalSeriesAndRacialEthnicGroup[[#This Row],[White Female Avg Salary]]/FemalePayGapsByOccupationalSeriesAndRacialEthnicGroup[[#This Row],[White Male Average Salary]],"")</f>
        <v>0.99496483775285316</v>
      </c>
      <c r="H254" s="10" t="str">
        <f>IFERROR(FemalePayGapsByOccupationalSeriesAndRacialEthnicGroup[[#This Row],[AIAN Female Employees]]/I$318,"")</f>
        <v/>
      </c>
      <c r="I254" t="s">
        <v>0</v>
      </c>
      <c r="J254" s="6" t="s">
        <v>0</v>
      </c>
      <c r="K254" s="52" t="str">
        <f>IFERROR(FemalePayGapsByOccupationalSeriesAndRacialEthnicGroup[[#This Row],[AIAN Female Avg Salary]]/FemalePayGapsByOccupationalSeriesAndRacialEthnicGroup[[#This Row],[White Male Average Salary]],"")</f>
        <v/>
      </c>
      <c r="L254" s="10" t="str">
        <f>IFERROR(FemalePayGapsByOccupationalSeriesAndRacialEthnicGroup[[#This Row],[ANHPI Female Employees]]/M$318,"")</f>
        <v/>
      </c>
      <c r="M254" s="8" t="s">
        <v>0</v>
      </c>
      <c r="N254" s="6" t="s">
        <v>0</v>
      </c>
      <c r="O254" s="52" t="str">
        <f>IFERROR(FemalePayGapsByOccupationalSeriesAndRacialEthnicGroup[[#This Row],[ANHPI Female Avg Salary]]/FemalePayGapsByOccupationalSeriesAndRacialEthnicGroup[[#This Row],[White Male Average Salary]],"")</f>
        <v/>
      </c>
      <c r="P254" s="10" t="str">
        <f>IFERROR(FemalePayGapsByOccupationalSeriesAndRacialEthnicGroup[[#This Row],[Black Female Employees]]/Q$318,"")</f>
        <v/>
      </c>
      <c r="Q254" s="8" t="s">
        <v>0</v>
      </c>
      <c r="R254" s="6" t="s">
        <v>0</v>
      </c>
      <c r="S254" s="52" t="str">
        <f>IFERROR(FemalePayGapsByOccupationalSeriesAndRacialEthnicGroup[[#This Row],[Black Female Avg Salary]]/FemalePayGapsByOccupationalSeriesAndRacialEthnicGroup[[#This Row],[White Male Average Salary]],"")</f>
        <v/>
      </c>
      <c r="T254" s="10" t="str">
        <f>IFERROR(FemalePayGapsByOccupationalSeriesAndRacialEthnicGroup[[#This Row],[Hispanic Latino Female Employees]]/U$318,"")</f>
        <v/>
      </c>
      <c r="U254" s="8" t="s">
        <v>0</v>
      </c>
      <c r="V254" s="47" t="s">
        <v>0</v>
      </c>
      <c r="W25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54" s="10" t="str">
        <f>IFERROR(FemalePayGapsByOccupationalSeriesAndRacialEthnicGroup[[#This Row],[Other Female Employees]]/Y$318,"")</f>
        <v/>
      </c>
      <c r="Y254" s="8" t="s">
        <v>0</v>
      </c>
      <c r="Z254" s="6" t="s">
        <v>0</v>
      </c>
      <c r="AA25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55" spans="1:27" ht="15.6" x14ac:dyDescent="0.3">
      <c r="A255" s="46" t="s">
        <v>263</v>
      </c>
      <c r="B255" s="40">
        <v>2871</v>
      </c>
      <c r="C255" s="41">
        <v>129101.532055749</v>
      </c>
      <c r="D255" s="70">
        <f>IFERROR(FemalePayGapsByOccupationalSeriesAndRacialEthnicGroup[[#This Row],[White Female Employees]]/E$318,"")</f>
        <v>2.7886211987785269E-3</v>
      </c>
      <c r="E255" s="16">
        <v>1273</v>
      </c>
      <c r="F255" s="17">
        <v>122760.054202671</v>
      </c>
      <c r="G255" s="18">
        <f>IFERROR(FemalePayGapsByOccupationalSeriesAndRacialEthnicGroup[[#This Row],[White Female Avg Salary]]/FemalePayGapsByOccupationalSeriesAndRacialEthnicGroup[[#This Row],[White Male Average Salary]],"")</f>
        <v>0.95087991790570225</v>
      </c>
      <c r="H255" s="10" t="str">
        <f>IFERROR(FemalePayGapsByOccupationalSeriesAndRacialEthnicGroup[[#This Row],[AIAN Female Employees]]/I$318,"")</f>
        <v/>
      </c>
      <c r="I255" t="s">
        <v>0</v>
      </c>
      <c r="J255" s="6" t="s">
        <v>0</v>
      </c>
      <c r="K255" s="52" t="str">
        <f>IFERROR(FemalePayGapsByOccupationalSeriesAndRacialEthnicGroup[[#This Row],[AIAN Female Avg Salary]]/FemalePayGapsByOccupationalSeriesAndRacialEthnicGroup[[#This Row],[White Male Average Salary]],"")</f>
        <v/>
      </c>
      <c r="L255" s="10">
        <f>IFERROR(FemalePayGapsByOccupationalSeriesAndRacialEthnicGroup[[#This Row],[ANHPI Female Employees]]/M$318,"")</f>
        <v>2.3692619437300287E-3</v>
      </c>
      <c r="M255" s="8">
        <v>152</v>
      </c>
      <c r="N255" s="6">
        <v>124804.230263158</v>
      </c>
      <c r="O255" s="52">
        <f>IFERROR(FemalePayGapsByOccupationalSeriesAndRacialEthnicGroup[[#This Row],[ANHPI Female Avg Salary]]/FemalePayGapsByOccupationalSeriesAndRacialEthnicGroup[[#This Row],[White Male Average Salary]],"")</f>
        <v>0.96671378159373555</v>
      </c>
      <c r="P255" s="10">
        <f>IFERROR(FemalePayGapsByOccupationalSeriesAndRacialEthnicGroup[[#This Row],[Black Female Employees]]/Q$318,"")</f>
        <v>9.0772996221752248E-4</v>
      </c>
      <c r="Q255" s="8">
        <v>191</v>
      </c>
      <c r="R255" s="6">
        <v>121095.53926701601</v>
      </c>
      <c r="S255" s="52">
        <f>IFERROR(FemalePayGapsByOccupationalSeriesAndRacialEthnicGroup[[#This Row],[Black Female Avg Salary]]/FemalePayGapsByOccupationalSeriesAndRacialEthnicGroup[[#This Row],[White Male Average Salary]],"")</f>
        <v>0.93798684910047525</v>
      </c>
      <c r="T255" s="10">
        <f>IFERROR(FemalePayGapsByOccupationalSeriesAndRacialEthnicGroup[[#This Row],[Hispanic Latino Female Employees]]/U$318,"")</f>
        <v>1.1792906310486714E-3</v>
      </c>
      <c r="U255" s="8">
        <v>92</v>
      </c>
      <c r="V255" s="6">
        <v>113078.19565217401</v>
      </c>
      <c r="W255" s="52">
        <f>IFERROR(FemalePayGapsByOccupationalSeriesAndRacialEthnicGroup[[#This Row],[Hispanic Latino Female Avg Salary]]/FemalePayGapsByOccupationalSeriesAndRacialEthnicGroup[[#This Row],[White Male Average Salary]],"")</f>
        <v>0.87588577650143029</v>
      </c>
      <c r="X255" s="10">
        <f>IFERROR(FemalePayGapsByOccupationalSeriesAndRacialEthnicGroup[[#This Row],[Other Female Employees]]/Y$318,"")</f>
        <v>2.9958736080492906E-3</v>
      </c>
      <c r="Y255" s="8">
        <v>53</v>
      </c>
      <c r="Z255" s="6">
        <v>118341.96226415101</v>
      </c>
      <c r="AA255" s="1">
        <f>IFERROR(FemalePayGapsByOccupationalSeriesAndRacialEthnicGroup[[#This Row],[Other Female Avg Salary]]/FemalePayGapsByOccupationalSeriesAndRacialEthnicGroup[[#This Row],[White Male Average Salary]],"")</f>
        <v>0.91665807817871769</v>
      </c>
    </row>
    <row r="256" spans="1:27" ht="15.6" x14ac:dyDescent="0.3">
      <c r="A256" s="45" t="s">
        <v>264</v>
      </c>
      <c r="B256" s="38">
        <v>472</v>
      </c>
      <c r="C256" s="39">
        <v>124504.944915254</v>
      </c>
      <c r="D256" s="69">
        <f>IFERROR(FemalePayGapsByOccupationalSeriesAndRacialEthnicGroup[[#This Row],[White Female Employees]]/E$318,"")</f>
        <v>7.7765948591231504E-4</v>
      </c>
      <c r="E256" s="67">
        <v>355</v>
      </c>
      <c r="F256" s="64">
        <v>116050.552112676</v>
      </c>
      <c r="G256" s="72">
        <f>IFERROR(FemalePayGapsByOccupationalSeriesAndRacialEthnicGroup[[#This Row],[White Female Avg Salary]]/FemalePayGapsByOccupationalSeriesAndRacialEthnicGroup[[#This Row],[White Male Average Salary]],"")</f>
        <v>0.93209592752856041</v>
      </c>
      <c r="H256" s="10" t="str">
        <f>IFERROR(FemalePayGapsByOccupationalSeriesAndRacialEthnicGroup[[#This Row],[AIAN Female Employees]]/I$318,"")</f>
        <v/>
      </c>
      <c r="I256" t="s">
        <v>0</v>
      </c>
      <c r="J256" s="6" t="s">
        <v>0</v>
      </c>
      <c r="K256" s="52" t="str">
        <f>IFERROR(FemalePayGapsByOccupationalSeriesAndRacialEthnicGroup[[#This Row],[AIAN Female Avg Salary]]/FemalePayGapsByOccupationalSeriesAndRacialEthnicGroup[[#This Row],[White Male Average Salary]],"")</f>
        <v/>
      </c>
      <c r="L256" s="10" t="str">
        <f>IFERROR(FemalePayGapsByOccupationalSeriesAndRacialEthnicGroup[[#This Row],[ANHPI Female Employees]]/M$318,"")</f>
        <v/>
      </c>
      <c r="M256" s="8" t="s">
        <v>0</v>
      </c>
      <c r="N256" s="6" t="s">
        <v>0</v>
      </c>
      <c r="O256" s="52" t="str">
        <f>IFERROR(FemalePayGapsByOccupationalSeriesAndRacialEthnicGroup[[#This Row],[ANHPI Female Avg Salary]]/FemalePayGapsByOccupationalSeriesAndRacialEthnicGroup[[#This Row],[White Male Average Salary]],"")</f>
        <v/>
      </c>
      <c r="P256" s="10" t="str">
        <f>IFERROR(FemalePayGapsByOccupationalSeriesAndRacialEthnicGroup[[#This Row],[Black Female Employees]]/Q$318,"")</f>
        <v/>
      </c>
      <c r="Q256" s="8" t="s">
        <v>0</v>
      </c>
      <c r="R256" s="6" t="s">
        <v>0</v>
      </c>
      <c r="S256" s="52" t="str">
        <f>IFERROR(FemalePayGapsByOccupationalSeriesAndRacialEthnicGroup[[#This Row],[Black Female Avg Salary]]/FemalePayGapsByOccupationalSeriesAndRacialEthnicGroup[[#This Row],[White Male Average Salary]],"")</f>
        <v/>
      </c>
      <c r="T256" s="10" t="str">
        <f>IFERROR(FemalePayGapsByOccupationalSeriesAndRacialEthnicGroup[[#This Row],[Hispanic Latino Female Employees]]/U$318,"")</f>
        <v/>
      </c>
      <c r="U256" s="8" t="s">
        <v>0</v>
      </c>
      <c r="V256" s="47" t="s">
        <v>0</v>
      </c>
      <c r="W25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56" s="10" t="str">
        <f>IFERROR(FemalePayGapsByOccupationalSeriesAndRacialEthnicGroup[[#This Row],[Other Female Employees]]/Y$318,"")</f>
        <v/>
      </c>
      <c r="Y256" s="8" t="s">
        <v>0</v>
      </c>
      <c r="Z256" s="6" t="s">
        <v>0</v>
      </c>
      <c r="AA25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57" spans="1:27" ht="15.6" x14ac:dyDescent="0.3">
      <c r="A257" s="46" t="s">
        <v>265</v>
      </c>
      <c r="B257" s="40">
        <v>495</v>
      </c>
      <c r="C257" s="41">
        <v>134421.74545454499</v>
      </c>
      <c r="D257" s="70">
        <f>IFERROR(FemalePayGapsByOccupationalSeriesAndRacialEthnicGroup[[#This Row],[White Female Employees]]/E$318,"")</f>
        <v>6.8346411156237268E-4</v>
      </c>
      <c r="E257" s="16">
        <v>312</v>
      </c>
      <c r="F257" s="17">
        <v>130557.167202572</v>
      </c>
      <c r="G257" s="18">
        <f>IFERROR(FemalePayGapsByOccupationalSeriesAndRacialEthnicGroup[[#This Row],[White Female Avg Salary]]/FemalePayGapsByOccupationalSeriesAndRacialEthnicGroup[[#This Row],[White Male Average Salary]],"")</f>
        <v>0.97125034912390873</v>
      </c>
      <c r="H257" s="10" t="str">
        <f>IFERROR(FemalePayGapsByOccupationalSeriesAndRacialEthnicGroup[[#This Row],[AIAN Female Employees]]/I$318,"")</f>
        <v/>
      </c>
      <c r="I257" t="s">
        <v>0</v>
      </c>
      <c r="J257" s="6" t="s">
        <v>0</v>
      </c>
      <c r="K257" s="52" t="str">
        <f>IFERROR(FemalePayGapsByOccupationalSeriesAndRacialEthnicGroup[[#This Row],[AIAN Female Avg Salary]]/FemalePayGapsByOccupationalSeriesAndRacialEthnicGroup[[#This Row],[White Male Average Salary]],"")</f>
        <v/>
      </c>
      <c r="L257" s="10">
        <f>IFERROR(FemalePayGapsByOccupationalSeriesAndRacialEthnicGroup[[#This Row],[ANHPI Female Employees]]/M$318,"")</f>
        <v>3.2889096718883952E-3</v>
      </c>
      <c r="M257" s="8">
        <v>211</v>
      </c>
      <c r="N257" s="6">
        <v>141738.34597156401</v>
      </c>
      <c r="O257" s="52">
        <f>IFERROR(FemalePayGapsByOccupationalSeriesAndRacialEthnicGroup[[#This Row],[ANHPI Female Avg Salary]]/FemalePayGapsByOccupationalSeriesAndRacialEthnicGroup[[#This Row],[White Male Average Salary]],"")</f>
        <v>1.0544301853266229</v>
      </c>
      <c r="P257" s="10">
        <f>IFERROR(FemalePayGapsByOccupationalSeriesAndRacialEthnicGroup[[#This Row],[Black Female Employees]]/Q$318,"")</f>
        <v>2.2812061877717843E-4</v>
      </c>
      <c r="Q257" s="8">
        <v>48</v>
      </c>
      <c r="R257" s="6">
        <v>123117.70833333299</v>
      </c>
      <c r="S257" s="52">
        <f>IFERROR(FemalePayGapsByOccupationalSeriesAndRacialEthnicGroup[[#This Row],[Black Female Avg Salary]]/FemalePayGapsByOccupationalSeriesAndRacialEthnicGroup[[#This Row],[White Male Average Salary]],"")</f>
        <v>0.91590618703106719</v>
      </c>
      <c r="T257" s="10" t="str">
        <f>IFERROR(FemalePayGapsByOccupationalSeriesAndRacialEthnicGroup[[#This Row],[Hispanic Latino Female Employees]]/U$318,"")</f>
        <v/>
      </c>
      <c r="U257" s="8" t="s">
        <v>0</v>
      </c>
      <c r="V257" s="47" t="s">
        <v>0</v>
      </c>
      <c r="W257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57" s="10" t="str">
        <f>IFERROR(FemalePayGapsByOccupationalSeriesAndRacialEthnicGroup[[#This Row],[Other Female Employees]]/Y$318,"")</f>
        <v/>
      </c>
      <c r="Y257" s="8" t="s">
        <v>0</v>
      </c>
      <c r="Z257" s="6" t="s">
        <v>0</v>
      </c>
      <c r="AA25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58" spans="1:27" ht="15.6" x14ac:dyDescent="0.3">
      <c r="A258" s="45" t="s">
        <v>266</v>
      </c>
      <c r="B258" s="38">
        <v>1104</v>
      </c>
      <c r="C258" s="39">
        <v>123766.067028986</v>
      </c>
      <c r="D258" s="69">
        <f>IFERROR(FemalePayGapsByOccupationalSeriesAndRacialEthnicGroup[[#This Row],[White Female Employees]]/E$318,"")</f>
        <v>2.118300627823123E-3</v>
      </c>
      <c r="E258" s="67">
        <v>967</v>
      </c>
      <c r="F258" s="64">
        <v>120735.96483971</v>
      </c>
      <c r="G258" s="72">
        <f>IFERROR(FemalePayGapsByOccupationalSeriesAndRacialEthnicGroup[[#This Row],[White Female Avg Salary]]/FemalePayGapsByOccupationalSeriesAndRacialEthnicGroup[[#This Row],[White Male Average Salary]],"")</f>
        <v>0.97551750441769836</v>
      </c>
      <c r="H258" s="10" t="str">
        <f>IFERROR(FemalePayGapsByOccupationalSeriesAndRacialEthnicGroup[[#This Row],[AIAN Female Employees]]/I$318,"")</f>
        <v/>
      </c>
      <c r="I258" t="s">
        <v>0</v>
      </c>
      <c r="J258" s="6" t="s">
        <v>0</v>
      </c>
      <c r="K258" s="52" t="str">
        <f>IFERROR(FemalePayGapsByOccupationalSeriesAndRacialEthnicGroup[[#This Row],[AIAN Female Avg Salary]]/FemalePayGapsByOccupationalSeriesAndRacialEthnicGroup[[#This Row],[White Male Average Salary]],"")</f>
        <v/>
      </c>
      <c r="L258" s="10">
        <f>IFERROR(FemalePayGapsByOccupationalSeriesAndRacialEthnicGroup[[#This Row],[ANHPI Female Employees]]/M$318,"")</f>
        <v>3.2421479229989866E-3</v>
      </c>
      <c r="M258" s="8">
        <v>208</v>
      </c>
      <c r="N258" s="6">
        <v>123367.63942307699</v>
      </c>
      <c r="O258" s="52">
        <f>IFERROR(FemalePayGapsByOccupationalSeriesAndRacialEthnicGroup[[#This Row],[ANHPI Female Avg Salary]]/FemalePayGapsByOccupationalSeriesAndRacialEthnicGroup[[#This Row],[White Male Average Salary]],"")</f>
        <v>0.99678080094590316</v>
      </c>
      <c r="P258" s="10">
        <f>IFERROR(FemalePayGapsByOccupationalSeriesAndRacialEthnicGroup[[#This Row],[Black Female Employees]]/Q$318,"")</f>
        <v>1.4305063802485564E-3</v>
      </c>
      <c r="Q258" s="8">
        <v>301</v>
      </c>
      <c r="R258" s="6">
        <v>119510.08970099701</v>
      </c>
      <c r="S258" s="52">
        <f>IFERROR(FemalePayGapsByOccupationalSeriesAndRacialEthnicGroup[[#This Row],[Black Female Avg Salary]]/FemalePayGapsByOccupationalSeriesAndRacialEthnicGroup[[#This Row],[White Male Average Salary]],"")</f>
        <v>0.96561272867310033</v>
      </c>
      <c r="T258" s="10">
        <f>IFERROR(FemalePayGapsByOccupationalSeriesAndRacialEthnicGroup[[#This Row],[Hispanic Latino Female Employees]]/U$318,"")</f>
        <v>1.6151154294797021E-3</v>
      </c>
      <c r="U258" s="8">
        <v>126</v>
      </c>
      <c r="V258" s="6">
        <v>113232.150793651</v>
      </c>
      <c r="W258" s="52">
        <f>IFERROR(FemalePayGapsByOccupationalSeriesAndRacialEthnicGroup[[#This Row],[Hispanic Latino Female Avg Salary]]/FemalePayGapsByOccupationalSeriesAndRacialEthnicGroup[[#This Row],[White Male Average Salary]],"")</f>
        <v>0.91488849497925828</v>
      </c>
      <c r="X258" s="10" t="str">
        <f>IFERROR(FemalePayGapsByOccupationalSeriesAndRacialEthnicGroup[[#This Row],[Other Female Employees]]/Y$318,"")</f>
        <v/>
      </c>
      <c r="Y258" s="8" t="s">
        <v>0</v>
      </c>
      <c r="Z258" s="6" t="s">
        <v>0</v>
      </c>
      <c r="AA25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59" spans="1:27" ht="15.6" x14ac:dyDescent="0.3">
      <c r="A259" s="46" t="s">
        <v>267</v>
      </c>
      <c r="B259" s="40">
        <v>62</v>
      </c>
      <c r="C259" s="41">
        <v>50432.645161289998</v>
      </c>
      <c r="D259" s="70">
        <f>IFERROR(FemalePayGapsByOccupationalSeriesAndRacialEthnicGroup[[#This Row],[White Female Employees]]/E$318,"")</f>
        <v>3.9430621820906115E-4</v>
      </c>
      <c r="E259" s="16">
        <v>180</v>
      </c>
      <c r="F259" s="17">
        <v>50304.805555555999</v>
      </c>
      <c r="G259" s="18">
        <f>IFERROR(FemalePayGapsByOccupationalSeriesAndRacialEthnicGroup[[#This Row],[White Female Avg Salary]]/FemalePayGapsByOccupationalSeriesAndRacialEthnicGroup[[#This Row],[White Male Average Salary]],"")</f>
        <v>0.99746514176829015</v>
      </c>
      <c r="H259" s="10" t="str">
        <f>IFERROR(FemalePayGapsByOccupationalSeriesAndRacialEthnicGroup[[#This Row],[AIAN Female Employees]]/I$318,"")</f>
        <v/>
      </c>
      <c r="I259" t="s">
        <v>0</v>
      </c>
      <c r="J259" s="6" t="s">
        <v>0</v>
      </c>
      <c r="K259" s="52" t="str">
        <f>IFERROR(FemalePayGapsByOccupationalSeriesAndRacialEthnicGroup[[#This Row],[AIAN Female Avg Salary]]/FemalePayGapsByOccupationalSeriesAndRacialEthnicGroup[[#This Row],[White Male Average Salary]],"")</f>
        <v/>
      </c>
      <c r="L259" s="10" t="str">
        <f>IFERROR(FemalePayGapsByOccupationalSeriesAndRacialEthnicGroup[[#This Row],[ANHPI Female Employees]]/M$318,"")</f>
        <v/>
      </c>
      <c r="M259" s="8" t="s">
        <v>0</v>
      </c>
      <c r="N259" s="6" t="s">
        <v>0</v>
      </c>
      <c r="O259" s="52" t="str">
        <f>IFERROR(FemalePayGapsByOccupationalSeriesAndRacialEthnicGroup[[#This Row],[ANHPI Female Avg Salary]]/FemalePayGapsByOccupationalSeriesAndRacialEthnicGroup[[#This Row],[White Male Average Salary]],"")</f>
        <v/>
      </c>
      <c r="P259" s="10" t="str">
        <f>IFERROR(FemalePayGapsByOccupationalSeriesAndRacialEthnicGroup[[#This Row],[Black Female Employees]]/Q$318,"")</f>
        <v/>
      </c>
      <c r="Q259" s="8" t="s">
        <v>0</v>
      </c>
      <c r="R259" s="6" t="s">
        <v>0</v>
      </c>
      <c r="S259" s="52" t="str">
        <f>IFERROR(FemalePayGapsByOccupationalSeriesAndRacialEthnicGroup[[#This Row],[Black Female Avg Salary]]/FemalePayGapsByOccupationalSeriesAndRacialEthnicGroup[[#This Row],[White Male Average Salary]],"")</f>
        <v/>
      </c>
      <c r="T259" s="10" t="str">
        <f>IFERROR(FemalePayGapsByOccupationalSeriesAndRacialEthnicGroup[[#This Row],[Hispanic Latino Female Employees]]/U$318,"")</f>
        <v/>
      </c>
      <c r="U259" s="8" t="s">
        <v>0</v>
      </c>
      <c r="V259" s="6" t="s">
        <v>0</v>
      </c>
      <c r="W25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59" s="10" t="str">
        <f>IFERROR(FemalePayGapsByOccupationalSeriesAndRacialEthnicGroup[[#This Row],[Other Female Employees]]/Y$318,"")</f>
        <v/>
      </c>
      <c r="Y259" s="8" t="s">
        <v>0</v>
      </c>
      <c r="Z259" s="6" t="s">
        <v>0</v>
      </c>
      <c r="AA25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60" spans="1:27" ht="15.6" x14ac:dyDescent="0.3">
      <c r="A260" s="45" t="s">
        <v>268</v>
      </c>
      <c r="B260" s="38">
        <v>5208</v>
      </c>
      <c r="C260" s="39">
        <v>114235.28788169799</v>
      </c>
      <c r="D260" s="69">
        <f>IFERROR(FemalePayGapsByOccupationalSeriesAndRacialEthnicGroup[[#This Row],[White Female Employees]]/E$318,"")</f>
        <v>2.4359361924915332E-3</v>
      </c>
      <c r="E260" s="67">
        <v>1112</v>
      </c>
      <c r="F260" s="64">
        <v>116923.838129496</v>
      </c>
      <c r="G260" s="72">
        <f>IFERROR(FemalePayGapsByOccupationalSeriesAndRacialEthnicGroup[[#This Row],[White Female Avg Salary]]/FemalePayGapsByOccupationalSeriesAndRacialEthnicGroup[[#This Row],[White Male Average Salary]],"")</f>
        <v>1.0235351991285062</v>
      </c>
      <c r="H260" s="10" t="str">
        <f>IFERROR(FemalePayGapsByOccupationalSeriesAndRacialEthnicGroup[[#This Row],[AIAN Female Employees]]/I$318,"")</f>
        <v/>
      </c>
      <c r="I260" t="s">
        <v>0</v>
      </c>
      <c r="J260" s="6" t="s">
        <v>0</v>
      </c>
      <c r="K260" s="52" t="str">
        <f>IFERROR(FemalePayGapsByOccupationalSeriesAndRacialEthnicGroup[[#This Row],[AIAN Female Avg Salary]]/FemalePayGapsByOccupationalSeriesAndRacialEthnicGroup[[#This Row],[White Male Average Salary]],"")</f>
        <v/>
      </c>
      <c r="L260" s="10">
        <f>IFERROR(FemalePayGapsByOccupationalSeriesAndRacialEthnicGroup[[#This Row],[ANHPI Female Employees]]/M$318,"")</f>
        <v>7.4662925726755513E-3</v>
      </c>
      <c r="M260" s="8">
        <v>479</v>
      </c>
      <c r="N260" s="6">
        <v>123738.845511482</v>
      </c>
      <c r="O260" s="52">
        <f>IFERROR(FemalePayGapsByOccupationalSeriesAndRacialEthnicGroup[[#This Row],[ANHPI Female Avg Salary]]/FemalePayGapsByOccupationalSeriesAndRacialEthnicGroup[[#This Row],[White Male Average Salary]],"")</f>
        <v>1.0831928365219849</v>
      </c>
      <c r="P260" s="10">
        <f>IFERROR(FemalePayGapsByOccupationalSeriesAndRacialEthnicGroup[[#This Row],[Black Female Employees]]/Q$318,"")</f>
        <v>1.2404058646009078E-3</v>
      </c>
      <c r="Q260" s="8">
        <v>261</v>
      </c>
      <c r="R260" s="6">
        <v>113086.590038314</v>
      </c>
      <c r="S260" s="52">
        <f>IFERROR(FemalePayGapsByOccupationalSeriesAndRacialEthnicGroup[[#This Row],[Black Female Avg Salary]]/FemalePayGapsByOccupationalSeriesAndRacialEthnicGroup[[#This Row],[White Male Average Salary]],"")</f>
        <v>0.98994445705276646</v>
      </c>
      <c r="T260" s="10">
        <f>IFERROR(FemalePayGapsByOccupationalSeriesAndRacialEthnicGroup[[#This Row],[Hispanic Latino Female Employees]]/U$318,"")</f>
        <v>1.435658159537513E-3</v>
      </c>
      <c r="U260" s="8">
        <v>112</v>
      </c>
      <c r="V260" s="6">
        <v>103309.5</v>
      </c>
      <c r="W260" s="52">
        <f>IFERROR(FemalePayGapsByOccupationalSeriesAndRacialEthnicGroup[[#This Row],[Hispanic Latino Female Avg Salary]]/FemalePayGapsByOccupationalSeriesAndRacialEthnicGroup[[#This Row],[White Male Average Salary]],"")</f>
        <v>0.9043571554438351</v>
      </c>
      <c r="X260" s="10">
        <f>IFERROR(FemalePayGapsByOccupationalSeriesAndRacialEthnicGroup[[#This Row],[Other Female Employees]]/Y$318,"")</f>
        <v>3.4480809451133345E-3</v>
      </c>
      <c r="Y260" s="8">
        <v>61</v>
      </c>
      <c r="Z260" s="6">
        <v>98426.622950820005</v>
      </c>
      <c r="AA260" s="1">
        <f>IFERROR(FemalePayGapsByOccupationalSeriesAndRacialEthnicGroup[[#This Row],[Other Female Avg Salary]]/FemalePayGapsByOccupationalSeriesAndRacialEthnicGroup[[#This Row],[White Male Average Salary]],"")</f>
        <v>0.86161312126906497</v>
      </c>
    </row>
    <row r="261" spans="1:27" ht="15.6" x14ac:dyDescent="0.3">
      <c r="A261" s="46" t="s">
        <v>269</v>
      </c>
      <c r="B261" s="40">
        <v>3598</v>
      </c>
      <c r="C261" s="41">
        <v>99949.842324804995</v>
      </c>
      <c r="D261" s="70">
        <f>IFERROR(FemalePayGapsByOccupationalSeriesAndRacialEthnicGroup[[#This Row],[White Female Employees]]/E$318,"")</f>
        <v>9.9452790592729871E-4</v>
      </c>
      <c r="E261" s="16">
        <v>454</v>
      </c>
      <c r="F261" s="17">
        <v>94022.246696034999</v>
      </c>
      <c r="G261" s="18">
        <f>IFERROR(FemalePayGapsByOccupationalSeriesAndRacialEthnicGroup[[#This Row],[White Female Avg Salary]]/FemalePayGapsByOccupationalSeriesAndRacialEthnicGroup[[#This Row],[White Male Average Salary]],"")</f>
        <v>0.94069429735059307</v>
      </c>
      <c r="H261" s="10" t="str">
        <f>IFERROR(FemalePayGapsByOccupationalSeriesAndRacialEthnicGroup[[#This Row],[AIAN Female Employees]]/I$318,"")</f>
        <v/>
      </c>
      <c r="I261" t="s">
        <v>0</v>
      </c>
      <c r="J261" s="6" t="s">
        <v>0</v>
      </c>
      <c r="K261" s="52" t="str">
        <f>IFERROR(FemalePayGapsByOccupationalSeriesAndRacialEthnicGroup[[#This Row],[AIAN Female Avg Salary]]/FemalePayGapsByOccupationalSeriesAndRacialEthnicGroup[[#This Row],[White Male Average Salary]],"")</f>
        <v/>
      </c>
      <c r="L261" s="10">
        <f>IFERROR(FemalePayGapsByOccupationalSeriesAndRacialEthnicGroup[[#This Row],[ANHPI Female Employees]]/M$318,"")</f>
        <v>6.5466448445171855E-4</v>
      </c>
      <c r="M261" s="8">
        <v>42</v>
      </c>
      <c r="N261" s="6">
        <v>94013.428571429002</v>
      </c>
      <c r="O261" s="52">
        <f>IFERROR(FemalePayGapsByOccupationalSeriesAndRacialEthnicGroup[[#This Row],[ANHPI Female Avg Salary]]/FemalePayGapsByOccupationalSeriesAndRacialEthnicGroup[[#This Row],[White Male Average Salary]],"")</f>
        <v>0.94060607185267442</v>
      </c>
      <c r="P261" s="10">
        <f>IFERROR(FemalePayGapsByOccupationalSeriesAndRacialEthnicGroup[[#This Row],[Black Female Employees]]/Q$318,"")</f>
        <v>5.3703395670460759E-4</v>
      </c>
      <c r="Q261" s="8">
        <v>113</v>
      </c>
      <c r="R261" s="6">
        <v>90114.336283185999</v>
      </c>
      <c r="S261" s="52">
        <f>IFERROR(FemalePayGapsByOccupationalSeriesAndRacialEthnicGroup[[#This Row],[Black Female Avg Salary]]/FemalePayGapsByOccupationalSeriesAndRacialEthnicGroup[[#This Row],[White Male Average Salary]],"")</f>
        <v>0.90159558221556024</v>
      </c>
      <c r="T261" s="10">
        <f>IFERROR(FemalePayGapsByOccupationalSeriesAndRacialEthnicGroup[[#This Row],[Hispanic Latino Female Employees]]/U$318,"")</f>
        <v>6.2810044479766195E-4</v>
      </c>
      <c r="U261" s="8">
        <v>49</v>
      </c>
      <c r="V261" s="6">
        <v>87698.142857143001</v>
      </c>
      <c r="W261" s="52">
        <f>IFERROR(FemalePayGapsByOccupationalSeriesAndRacialEthnicGroup[[#This Row],[Hispanic Latino Female Avg Salary]]/FemalePayGapsByOccupationalSeriesAndRacialEthnicGroup[[#This Row],[White Male Average Salary]],"")</f>
        <v>0.8774215228089316</v>
      </c>
      <c r="X261" s="10">
        <f>IFERROR(FemalePayGapsByOccupationalSeriesAndRacialEthnicGroup[[#This Row],[Other Female Employees]]/Y$318,"")</f>
        <v>9.0441467412808775E-4</v>
      </c>
      <c r="Y261" s="8">
        <v>16</v>
      </c>
      <c r="Z261" s="6">
        <v>89569.9375</v>
      </c>
      <c r="AA261" s="1">
        <f>IFERROR(FemalePayGapsByOccupationalSeriesAndRacialEthnicGroup[[#This Row],[Other Female Avg Salary]]/FemalePayGapsByOccupationalSeriesAndRacialEthnicGroup[[#This Row],[White Male Average Salary]],"")</f>
        <v>0.89614886243568426</v>
      </c>
    </row>
    <row r="262" spans="1:27" ht="15.6" x14ac:dyDescent="0.3">
      <c r="A262" s="45" t="s">
        <v>270</v>
      </c>
      <c r="B262" s="38">
        <v>187</v>
      </c>
      <c r="C262" s="39">
        <v>56234.802139036998</v>
      </c>
      <c r="D262" s="69">
        <f>IFERROR(FemalePayGapsByOccupationalSeriesAndRacialEthnicGroup[[#This Row],[White Female Employees]]/E$318,"")</f>
        <v>4.7316746185087339E-4</v>
      </c>
      <c r="E262" s="67">
        <v>216</v>
      </c>
      <c r="F262" s="64">
        <v>57195.439814814999</v>
      </c>
      <c r="G262" s="72">
        <f>IFERROR(FemalePayGapsByOccupationalSeriesAndRacialEthnicGroup[[#This Row],[White Female Avg Salary]]/FemalePayGapsByOccupationalSeriesAndRacialEthnicGroup[[#This Row],[White Male Average Salary]],"")</f>
        <v>1.0170826185784896</v>
      </c>
      <c r="H262" s="10" t="str">
        <f>IFERROR(FemalePayGapsByOccupationalSeriesAndRacialEthnicGroup[[#This Row],[AIAN Female Employees]]/I$318,"")</f>
        <v/>
      </c>
      <c r="I262" t="s">
        <v>0</v>
      </c>
      <c r="J262" s="6" t="s">
        <v>0</v>
      </c>
      <c r="K262" s="52" t="str">
        <f>IFERROR(FemalePayGapsByOccupationalSeriesAndRacialEthnicGroup[[#This Row],[AIAN Female Avg Salary]]/FemalePayGapsByOccupationalSeriesAndRacialEthnicGroup[[#This Row],[White Male Average Salary]],"")</f>
        <v/>
      </c>
      <c r="L262" s="10" t="str">
        <f>IFERROR(FemalePayGapsByOccupationalSeriesAndRacialEthnicGroup[[#This Row],[ANHPI Female Employees]]/M$318,"")</f>
        <v/>
      </c>
      <c r="M262" s="8" t="s">
        <v>0</v>
      </c>
      <c r="N262" s="6" t="s">
        <v>0</v>
      </c>
      <c r="O262" s="52" t="str">
        <f>IFERROR(FemalePayGapsByOccupationalSeriesAndRacialEthnicGroup[[#This Row],[ANHPI Female Avg Salary]]/FemalePayGapsByOccupationalSeriesAndRacialEthnicGroup[[#This Row],[White Male Average Salary]],"")</f>
        <v/>
      </c>
      <c r="P262" s="10">
        <f>IFERROR(FemalePayGapsByOccupationalSeriesAndRacialEthnicGroup[[#This Row],[Black Female Employees]]/Q$318,"")</f>
        <v>3.2792338949219402E-4</v>
      </c>
      <c r="Q262" s="8">
        <v>69</v>
      </c>
      <c r="R262" s="6">
        <v>58009.869565216999</v>
      </c>
      <c r="S262" s="52">
        <f>IFERROR(FemalePayGapsByOccupationalSeriesAndRacialEthnicGroup[[#This Row],[Black Female Avg Salary]]/FemalePayGapsByOccupationalSeriesAndRacialEthnicGroup[[#This Row],[White Male Average Salary]],"")</f>
        <v>1.0315652826836887</v>
      </c>
      <c r="T262" s="10" t="str">
        <f>IFERROR(FemalePayGapsByOccupationalSeriesAndRacialEthnicGroup[[#This Row],[Hispanic Latino Female Employees]]/U$318,"")</f>
        <v/>
      </c>
      <c r="U262" s="8" t="s">
        <v>0</v>
      </c>
      <c r="V262" s="6" t="s">
        <v>0</v>
      </c>
      <c r="W26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62" s="10" t="str">
        <f>IFERROR(FemalePayGapsByOccupationalSeriesAndRacialEthnicGroup[[#This Row],[Other Female Employees]]/Y$318,"")</f>
        <v/>
      </c>
      <c r="Y262" s="8" t="s">
        <v>0</v>
      </c>
      <c r="Z262" s="6" t="s">
        <v>0</v>
      </c>
      <c r="AA26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63" spans="1:27" ht="15.6" x14ac:dyDescent="0.3">
      <c r="A263" s="46" t="s">
        <v>271</v>
      </c>
      <c r="B263" s="40">
        <v>163</v>
      </c>
      <c r="C263" s="41">
        <v>82583.085889570997</v>
      </c>
      <c r="D263" s="70">
        <f>IFERROR(FemalePayGapsByOccupationalSeriesAndRacialEthnicGroup[[#This Row],[White Female Employees]]/E$318,"")</f>
        <v>1.1391068526039545E-4</v>
      </c>
      <c r="E263" s="16">
        <v>52</v>
      </c>
      <c r="F263" s="17">
        <v>65173.096153846003</v>
      </c>
      <c r="G263" s="18">
        <f>IFERROR(FemalePayGapsByOccupationalSeriesAndRacialEthnicGroup[[#This Row],[White Female Avg Salary]]/FemalePayGapsByOccupationalSeriesAndRacialEthnicGroup[[#This Row],[White Male Average Salary]],"")</f>
        <v>0.78918213641222612</v>
      </c>
      <c r="H263" s="10" t="str">
        <f>IFERROR(FemalePayGapsByOccupationalSeriesAndRacialEthnicGroup[[#This Row],[AIAN Female Employees]]/I$318,"")</f>
        <v/>
      </c>
      <c r="I263" t="s">
        <v>0</v>
      </c>
      <c r="J263" s="6" t="s">
        <v>0</v>
      </c>
      <c r="K263" s="52" t="str">
        <f>IFERROR(FemalePayGapsByOccupationalSeriesAndRacialEthnicGroup[[#This Row],[AIAN Female Avg Salary]]/FemalePayGapsByOccupationalSeriesAndRacialEthnicGroup[[#This Row],[White Male Average Salary]],"")</f>
        <v/>
      </c>
      <c r="L263" s="10" t="str">
        <f>IFERROR(FemalePayGapsByOccupationalSeriesAndRacialEthnicGroup[[#This Row],[ANHPI Female Employees]]/M$318,"")</f>
        <v/>
      </c>
      <c r="M263" s="8" t="s">
        <v>0</v>
      </c>
      <c r="N263" s="6" t="s">
        <v>0</v>
      </c>
      <c r="O263" s="52" t="str">
        <f>IFERROR(FemalePayGapsByOccupationalSeriesAndRacialEthnicGroup[[#This Row],[ANHPI Female Avg Salary]]/FemalePayGapsByOccupationalSeriesAndRacialEthnicGroup[[#This Row],[White Male Average Salary]],"")</f>
        <v/>
      </c>
      <c r="P263" s="10" t="str">
        <f>IFERROR(FemalePayGapsByOccupationalSeriesAndRacialEthnicGroup[[#This Row],[Black Female Employees]]/Q$318,"")</f>
        <v/>
      </c>
      <c r="Q263" s="8" t="s">
        <v>0</v>
      </c>
      <c r="R263" s="6" t="s">
        <v>0</v>
      </c>
      <c r="S263" s="52" t="str">
        <f>IFERROR(FemalePayGapsByOccupationalSeriesAndRacialEthnicGroup[[#This Row],[Black Female Avg Salary]]/FemalePayGapsByOccupationalSeriesAndRacialEthnicGroup[[#This Row],[White Male Average Salary]],"")</f>
        <v/>
      </c>
      <c r="T263" s="10" t="str">
        <f>IFERROR(FemalePayGapsByOccupationalSeriesAndRacialEthnicGroup[[#This Row],[Hispanic Latino Female Employees]]/U$318,"")</f>
        <v/>
      </c>
      <c r="U263" s="8" t="s">
        <v>0</v>
      </c>
      <c r="V263" s="6" t="s">
        <v>0</v>
      </c>
      <c r="W26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63" s="10" t="str">
        <f>IFERROR(FemalePayGapsByOccupationalSeriesAndRacialEthnicGroup[[#This Row],[Other Female Employees]]/Y$318,"")</f>
        <v/>
      </c>
      <c r="Y263" s="8" t="s">
        <v>0</v>
      </c>
      <c r="Z263" s="6" t="s">
        <v>0</v>
      </c>
      <c r="AA26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64" spans="1:27" ht="15.6" x14ac:dyDescent="0.3">
      <c r="A264" s="45" t="s">
        <v>272</v>
      </c>
      <c r="B264" s="38">
        <v>2093</v>
      </c>
      <c r="C264" s="39">
        <v>95982.352603918</v>
      </c>
      <c r="D264" s="69">
        <f>IFERROR(FemalePayGapsByOccupationalSeriesAndRacialEthnicGroup[[#This Row],[White Female Employees]]/E$318,"")</f>
        <v>4.8850159255900351E-4</v>
      </c>
      <c r="E264" s="67">
        <v>223</v>
      </c>
      <c r="F264" s="64">
        <v>94359.636771300007</v>
      </c>
      <c r="G264" s="72">
        <f>IFERROR(FemalePayGapsByOccupationalSeriesAndRacialEthnicGroup[[#This Row],[White Female Avg Salary]]/FemalePayGapsByOccupationalSeriesAndRacialEthnicGroup[[#This Row],[White Male Average Salary]],"")</f>
        <v>0.98309360222379305</v>
      </c>
      <c r="H264" s="10" t="str">
        <f>IFERROR(FemalePayGapsByOccupationalSeriesAndRacialEthnicGroup[[#This Row],[AIAN Female Employees]]/I$318,"")</f>
        <v/>
      </c>
      <c r="I264" t="s">
        <v>0</v>
      </c>
      <c r="J264" s="6" t="s">
        <v>0</v>
      </c>
      <c r="K264" s="52" t="str">
        <f>IFERROR(FemalePayGapsByOccupationalSeriesAndRacialEthnicGroup[[#This Row],[AIAN Female Avg Salary]]/FemalePayGapsByOccupationalSeriesAndRacialEthnicGroup[[#This Row],[White Male Average Salary]],"")</f>
        <v/>
      </c>
      <c r="L264" s="10">
        <f>IFERROR(FemalePayGapsByOccupationalSeriesAndRacialEthnicGroup[[#This Row],[ANHPI Female Employees]]/M$318,"")</f>
        <v>2.0263424518743666E-4</v>
      </c>
      <c r="M264" s="8">
        <v>13</v>
      </c>
      <c r="N264" s="6">
        <v>106941.461538462</v>
      </c>
      <c r="O264" s="52">
        <f>IFERROR(FemalePayGapsByOccupationalSeriesAndRacialEthnicGroup[[#This Row],[ANHPI Female Avg Salary]]/FemalePayGapsByOccupationalSeriesAndRacialEthnicGroup[[#This Row],[White Male Average Salary]],"")</f>
        <v>1.1141783738076103</v>
      </c>
      <c r="P264" s="10">
        <f>IFERROR(FemalePayGapsByOccupationalSeriesAndRacialEthnicGroup[[#This Row],[Black Female Employees]]/Q$318,"")</f>
        <v>2.4237815745075208E-4</v>
      </c>
      <c r="Q264" s="8">
        <v>51</v>
      </c>
      <c r="R264" s="6">
        <v>97716.137254902002</v>
      </c>
      <c r="S264" s="52">
        <f>IFERROR(FemalePayGapsByOccupationalSeriesAndRacialEthnicGroup[[#This Row],[Black Female Avg Salary]]/FemalePayGapsByOccupationalSeriesAndRacialEthnicGroup[[#This Row],[White Male Average Salary]],"")</f>
        <v>1.0180635773550859</v>
      </c>
      <c r="T264" s="10">
        <f>IFERROR(FemalePayGapsByOccupationalSeriesAndRacialEthnicGroup[[#This Row],[Hispanic Latino Female Employees]]/U$318,"")</f>
        <v>3.5891453988437825E-4</v>
      </c>
      <c r="U264" s="8">
        <v>28</v>
      </c>
      <c r="V264" s="6">
        <v>100448.785714286</v>
      </c>
      <c r="W264" s="52">
        <f>IFERROR(FemalePayGapsByOccupationalSeriesAndRacialEthnicGroup[[#This Row],[Hispanic Latino Female Avg Salary]]/FemalePayGapsByOccupationalSeriesAndRacialEthnicGroup[[#This Row],[White Male Average Salary]],"")</f>
        <v>1.0465338990887132</v>
      </c>
      <c r="X264" s="10" t="str">
        <f>IFERROR(FemalePayGapsByOccupationalSeriesAndRacialEthnicGroup[[#This Row],[Other Female Employees]]/Y$318,"")</f>
        <v/>
      </c>
      <c r="Y264" s="8" t="s">
        <v>0</v>
      </c>
      <c r="Z264" s="6" t="s">
        <v>0</v>
      </c>
      <c r="AA26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65" spans="1:27" ht="15.6" x14ac:dyDescent="0.3">
      <c r="A265" s="46" t="s">
        <v>273</v>
      </c>
      <c r="B265" s="40">
        <v>78</v>
      </c>
      <c r="C265" s="41">
        <v>103389.512820513</v>
      </c>
      <c r="D265" s="70">
        <f>IFERROR(FemalePayGapsByOccupationalSeriesAndRacialEthnicGroup[[#This Row],[White Female Employees]]/E$318,"")</f>
        <v>1.161012753615569E-4</v>
      </c>
      <c r="E265" s="16">
        <v>53</v>
      </c>
      <c r="F265" s="17">
        <v>101821.660377358</v>
      </c>
      <c r="G265" s="18">
        <f>IFERROR(FemalePayGapsByOccupationalSeriesAndRacialEthnicGroup[[#This Row],[White Female Avg Salary]]/FemalePayGapsByOccupationalSeriesAndRacialEthnicGroup[[#This Row],[White Male Average Salary]],"")</f>
        <v>0.98483547895349077</v>
      </c>
      <c r="H265" s="10" t="str">
        <f>IFERROR(FemalePayGapsByOccupationalSeriesAndRacialEthnicGroup[[#This Row],[AIAN Female Employees]]/I$318,"")</f>
        <v/>
      </c>
      <c r="I265" t="s">
        <v>0</v>
      </c>
      <c r="J265" s="6" t="s">
        <v>0</v>
      </c>
      <c r="K265" s="52" t="str">
        <f>IFERROR(FemalePayGapsByOccupationalSeriesAndRacialEthnicGroup[[#This Row],[AIAN Female Avg Salary]]/FemalePayGapsByOccupationalSeriesAndRacialEthnicGroup[[#This Row],[White Male Average Salary]],"")</f>
        <v/>
      </c>
      <c r="L265" s="10" t="str">
        <f>IFERROR(FemalePayGapsByOccupationalSeriesAndRacialEthnicGroup[[#This Row],[ANHPI Female Employees]]/M$318,"")</f>
        <v/>
      </c>
      <c r="M265" s="8" t="s">
        <v>0</v>
      </c>
      <c r="N265" s="6" t="s">
        <v>0</v>
      </c>
      <c r="O265" s="52" t="str">
        <f>IFERROR(FemalePayGapsByOccupationalSeriesAndRacialEthnicGroup[[#This Row],[ANHPI Female Avg Salary]]/FemalePayGapsByOccupationalSeriesAndRacialEthnicGroup[[#This Row],[White Male Average Salary]],"")</f>
        <v/>
      </c>
      <c r="P265" s="10" t="str">
        <f>IFERROR(FemalePayGapsByOccupationalSeriesAndRacialEthnicGroup[[#This Row],[Black Female Employees]]/Q$318,"")</f>
        <v/>
      </c>
      <c r="Q265" s="8" t="s">
        <v>0</v>
      </c>
      <c r="R265" s="6" t="s">
        <v>0</v>
      </c>
      <c r="S265" s="52" t="str">
        <f>IFERROR(FemalePayGapsByOccupationalSeriesAndRacialEthnicGroup[[#This Row],[Black Female Avg Salary]]/FemalePayGapsByOccupationalSeriesAndRacialEthnicGroup[[#This Row],[White Male Average Salary]],"")</f>
        <v/>
      </c>
      <c r="T265" s="10" t="str">
        <f>IFERROR(FemalePayGapsByOccupationalSeriesAndRacialEthnicGroup[[#This Row],[Hispanic Latino Female Employees]]/U$318,"")</f>
        <v/>
      </c>
      <c r="U265" s="8" t="s">
        <v>0</v>
      </c>
      <c r="V265" s="6" t="s">
        <v>0</v>
      </c>
      <c r="W26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65" s="10" t="str">
        <f>IFERROR(FemalePayGapsByOccupationalSeriesAndRacialEthnicGroup[[#This Row],[Other Female Employees]]/Y$318,"")</f>
        <v/>
      </c>
      <c r="Y265" s="8" t="s">
        <v>0</v>
      </c>
      <c r="Z265" s="6" t="s">
        <v>0</v>
      </c>
      <c r="AA26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66" spans="1:27" ht="15.6" x14ac:dyDescent="0.3">
      <c r="A266" s="45" t="s">
        <v>274</v>
      </c>
      <c r="B266" s="38">
        <v>177</v>
      </c>
      <c r="C266" s="39">
        <v>87660.395480225998</v>
      </c>
      <c r="D266" s="69">
        <f>IFERROR(FemalePayGapsByOccupationalSeriesAndRacialEthnicGroup[[#This Row],[White Female Employees]]/E$318,"")</f>
        <v>7.8861243641812227E-5</v>
      </c>
      <c r="E266" s="67">
        <v>36</v>
      </c>
      <c r="F266" s="64">
        <v>81466.361111110993</v>
      </c>
      <c r="G266" s="72">
        <f>IFERROR(FemalePayGapsByOccupationalSeriesAndRacialEthnicGroup[[#This Row],[White Female Avg Salary]]/FemalePayGapsByOccupationalSeriesAndRacialEthnicGroup[[#This Row],[White Male Average Salary]],"")</f>
        <v>0.92934056097759421</v>
      </c>
      <c r="H266" s="10" t="str">
        <f>IFERROR(FemalePayGapsByOccupationalSeriesAndRacialEthnicGroup[[#This Row],[AIAN Female Employees]]/I$318,"")</f>
        <v/>
      </c>
      <c r="I266" t="s">
        <v>0</v>
      </c>
      <c r="J266" s="6" t="s">
        <v>0</v>
      </c>
      <c r="K266" s="52" t="str">
        <f>IFERROR(FemalePayGapsByOccupationalSeriesAndRacialEthnicGroup[[#This Row],[AIAN Female Avg Salary]]/FemalePayGapsByOccupationalSeriesAndRacialEthnicGroup[[#This Row],[White Male Average Salary]],"")</f>
        <v/>
      </c>
      <c r="L266" s="10" t="str">
        <f>IFERROR(FemalePayGapsByOccupationalSeriesAndRacialEthnicGroup[[#This Row],[ANHPI Female Employees]]/M$318,"")</f>
        <v/>
      </c>
      <c r="M266" s="8" t="s">
        <v>0</v>
      </c>
      <c r="N266" s="6" t="s">
        <v>0</v>
      </c>
      <c r="O266" s="52" t="str">
        <f>IFERROR(FemalePayGapsByOccupationalSeriesAndRacialEthnicGroup[[#This Row],[ANHPI Female Avg Salary]]/FemalePayGapsByOccupationalSeriesAndRacialEthnicGroup[[#This Row],[White Male Average Salary]],"")</f>
        <v/>
      </c>
      <c r="P266" s="10">
        <f>IFERROR(FemalePayGapsByOccupationalSeriesAndRacialEthnicGroup[[#This Row],[Black Female Employees]]/Q$318,"")</f>
        <v>1.7109046408288382E-4</v>
      </c>
      <c r="Q266" s="8">
        <v>36</v>
      </c>
      <c r="R266" s="6">
        <v>80452.277777777999</v>
      </c>
      <c r="S266" s="52">
        <f>IFERROR(FemalePayGapsByOccupationalSeriesAndRacialEthnicGroup[[#This Row],[Black Female Avg Salary]]/FemalePayGapsByOccupationalSeriesAndRacialEthnicGroup[[#This Row],[White Male Average Salary]],"")</f>
        <v>0.9177722429500792</v>
      </c>
      <c r="T266" s="10" t="str">
        <f>IFERROR(FemalePayGapsByOccupationalSeriesAndRacialEthnicGroup[[#This Row],[Hispanic Latino Female Employees]]/U$318,"")</f>
        <v/>
      </c>
      <c r="U266" s="8" t="s">
        <v>0</v>
      </c>
      <c r="V266" s="6" t="s">
        <v>0</v>
      </c>
      <c r="W26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66" s="10" t="str">
        <f>IFERROR(FemalePayGapsByOccupationalSeriesAndRacialEthnicGroup[[#This Row],[Other Female Employees]]/Y$318,"")</f>
        <v/>
      </c>
      <c r="Y266" s="8" t="s">
        <v>0</v>
      </c>
      <c r="Z266" s="6" t="s">
        <v>0</v>
      </c>
      <c r="AA26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67" spans="1:27" ht="15.6" x14ac:dyDescent="0.3">
      <c r="A267" s="46" t="s">
        <v>275</v>
      </c>
      <c r="B267" s="40">
        <v>4007</v>
      </c>
      <c r="C267" s="41">
        <v>90066.609086369994</v>
      </c>
      <c r="D267" s="70">
        <f>IFERROR(FemalePayGapsByOccupationalSeriesAndRacialEthnicGroup[[#This Row],[White Female Employees]]/E$318,"")</f>
        <v>5.6298165599849288E-4</v>
      </c>
      <c r="E267" s="16">
        <v>257</v>
      </c>
      <c r="F267" s="17">
        <v>84876.66536965</v>
      </c>
      <c r="G267" s="18">
        <f>IFERROR(FemalePayGapsByOccupationalSeriesAndRacialEthnicGroup[[#This Row],[White Female Avg Salary]]/FemalePayGapsByOccupationalSeriesAndRacialEthnicGroup[[#This Row],[White Male Average Salary]],"")</f>
        <v>0.94237660583243388</v>
      </c>
      <c r="H267" s="10" t="str">
        <f>IFERROR(FemalePayGapsByOccupationalSeriesAndRacialEthnicGroup[[#This Row],[AIAN Female Employees]]/I$318,"")</f>
        <v/>
      </c>
      <c r="I267" t="s">
        <v>0</v>
      </c>
      <c r="J267" s="6" t="s">
        <v>0</v>
      </c>
      <c r="K267" s="52" t="str">
        <f>IFERROR(FemalePayGapsByOccupationalSeriesAndRacialEthnicGroup[[#This Row],[AIAN Female Avg Salary]]/FemalePayGapsByOccupationalSeriesAndRacialEthnicGroup[[#This Row],[White Male Average Salary]],"")</f>
        <v/>
      </c>
      <c r="L267" s="10">
        <f>IFERROR(FemalePayGapsByOccupationalSeriesAndRacialEthnicGroup[[#This Row],[ANHPI Female Employees]]/M$318,"")</f>
        <v>3.2733224222585927E-4</v>
      </c>
      <c r="M267" s="8">
        <v>21</v>
      </c>
      <c r="N267" s="6">
        <v>84208.857142856999</v>
      </c>
      <c r="O267" s="52">
        <f>IFERROR(FemalePayGapsByOccupationalSeriesAndRacialEthnicGroup[[#This Row],[ANHPI Female Avg Salary]]/FemalePayGapsByOccupationalSeriesAndRacialEthnicGroup[[#This Row],[White Male Average Salary]],"")</f>
        <v>0.93496200197905022</v>
      </c>
      <c r="P267" s="10">
        <f>IFERROR(FemalePayGapsByOccupationalSeriesAndRacialEthnicGroup[[#This Row],[Black Female Employees]]/Q$318,"")</f>
        <v>2.2336810588598723E-4</v>
      </c>
      <c r="Q267" s="8">
        <v>47</v>
      </c>
      <c r="R267" s="6">
        <v>79096.914893616995</v>
      </c>
      <c r="S267" s="52">
        <f>IFERROR(FemalePayGapsByOccupationalSeriesAndRacialEthnicGroup[[#This Row],[Black Female Avg Salary]]/FemalePayGapsByOccupationalSeriesAndRacialEthnicGroup[[#This Row],[White Male Average Salary]],"")</f>
        <v>0.87820464982495861</v>
      </c>
      <c r="T267" s="10">
        <f>IFERROR(FemalePayGapsByOccupationalSeriesAndRacialEthnicGroup[[#This Row],[Hispanic Latino Female Employees]]/U$318,"")</f>
        <v>5.7682693909989356E-4</v>
      </c>
      <c r="U267" s="8">
        <v>45</v>
      </c>
      <c r="V267" s="6">
        <v>82860.933333333</v>
      </c>
      <c r="W267" s="52">
        <f>IFERROR(FemalePayGapsByOccupationalSeriesAndRacialEthnicGroup[[#This Row],[Hispanic Latino Female Avg Salary]]/FemalePayGapsByOccupationalSeriesAndRacialEthnicGroup[[#This Row],[White Male Average Salary]],"")</f>
        <v>0.91999614700574484</v>
      </c>
      <c r="X267" s="10">
        <f>IFERROR(FemalePayGapsByOccupationalSeriesAndRacialEthnicGroup[[#This Row],[Other Female Employees]]/Y$318,"")</f>
        <v>4.5220733706404387E-4</v>
      </c>
      <c r="Y267" s="8">
        <v>8</v>
      </c>
      <c r="Z267" s="6">
        <v>75546.375</v>
      </c>
      <c r="AA267" s="1">
        <f>IFERROR(FemalePayGapsByOccupationalSeriesAndRacialEthnicGroup[[#This Row],[Other Female Avg Salary]]/FemalePayGapsByOccupationalSeriesAndRacialEthnicGroup[[#This Row],[White Male Average Salary]],"")</f>
        <v>0.83878338228048843</v>
      </c>
    </row>
    <row r="268" spans="1:27" ht="15.6" x14ac:dyDescent="0.3">
      <c r="A268" s="45" t="s">
        <v>276</v>
      </c>
      <c r="B268" s="38">
        <v>1066</v>
      </c>
      <c r="C268" s="39">
        <v>123935.215225564</v>
      </c>
      <c r="D268" s="69">
        <f>IFERROR(FemalePayGapsByOccupationalSeriesAndRacialEthnicGroup[[#This Row],[White Female Employees]]/E$318,"")</f>
        <v>2.4885103549194083E-3</v>
      </c>
      <c r="E268" s="67">
        <v>1136</v>
      </c>
      <c r="F268" s="64">
        <v>99702.014991182004</v>
      </c>
      <c r="G268" s="72">
        <f>IFERROR(FemalePayGapsByOccupationalSeriesAndRacialEthnicGroup[[#This Row],[White Female Avg Salary]]/FemalePayGapsByOccupationalSeriesAndRacialEthnicGroup[[#This Row],[White Male Average Salary]],"")</f>
        <v>0.80446880904448992</v>
      </c>
      <c r="H268" s="10" t="str">
        <f>IFERROR(FemalePayGapsByOccupationalSeriesAndRacialEthnicGroup[[#This Row],[AIAN Female Employees]]/I$318,"")</f>
        <v/>
      </c>
      <c r="I268" t="s">
        <v>0</v>
      </c>
      <c r="J268" s="6" t="s">
        <v>0</v>
      </c>
      <c r="K268" s="52" t="str">
        <f>IFERROR(FemalePayGapsByOccupationalSeriesAndRacialEthnicGroup[[#This Row],[AIAN Female Avg Salary]]/FemalePayGapsByOccupationalSeriesAndRacialEthnicGroup[[#This Row],[White Male Average Salary]],"")</f>
        <v/>
      </c>
      <c r="L268" s="10">
        <f>IFERROR(FemalePayGapsByOccupationalSeriesAndRacialEthnicGroup[[#This Row],[ANHPI Female Employees]]/M$318,"")</f>
        <v>2.961577429662536E-3</v>
      </c>
      <c r="M268" s="8">
        <v>190</v>
      </c>
      <c r="N268" s="6">
        <v>111418.83157894701</v>
      </c>
      <c r="O268" s="52">
        <f>IFERROR(FemalePayGapsByOccupationalSeriesAndRacialEthnicGroup[[#This Row],[ANHPI Female Avg Salary]]/FemalePayGapsByOccupationalSeriesAndRacialEthnicGroup[[#This Row],[White Male Average Salary]],"")</f>
        <v>0.89900865848470124</v>
      </c>
      <c r="P268" s="10">
        <f>IFERROR(FemalePayGapsByOccupationalSeriesAndRacialEthnicGroup[[#This Row],[Black Female Employees]]/Q$318,"")</f>
        <v>1.8059548986526625E-3</v>
      </c>
      <c r="Q268" s="8">
        <v>380</v>
      </c>
      <c r="R268" s="6">
        <v>95110.515789473997</v>
      </c>
      <c r="S268" s="52">
        <f>IFERROR(FemalePayGapsByOccupationalSeriesAndRacialEthnicGroup[[#This Row],[Black Female Avg Salary]]/FemalePayGapsByOccupationalSeriesAndRacialEthnicGroup[[#This Row],[White Male Average Salary]],"")</f>
        <v>0.76742123387909877</v>
      </c>
      <c r="T268" s="10">
        <f>IFERROR(FemalePayGapsByOccupationalSeriesAndRacialEthnicGroup[[#This Row],[Hispanic Latino Female Employees]]/U$318,"")</f>
        <v>1.7817543229974491E-3</v>
      </c>
      <c r="U268" s="8">
        <v>139</v>
      </c>
      <c r="V268" s="6">
        <v>84773.223021583006</v>
      </c>
      <c r="W268" s="52">
        <f>IFERROR(FemalePayGapsByOccupationalSeriesAndRacialEthnicGroup[[#This Row],[Hispanic Latino Female Avg Salary]]/FemalePayGapsByOccupationalSeriesAndRacialEthnicGroup[[#This Row],[White Male Average Salary]],"")</f>
        <v>0.68401239201702635</v>
      </c>
      <c r="X268" s="10" t="str">
        <f>IFERROR(FemalePayGapsByOccupationalSeriesAndRacialEthnicGroup[[#This Row],[Other Female Employees]]/Y$318,"")</f>
        <v/>
      </c>
      <c r="Y268" s="8" t="s">
        <v>0</v>
      </c>
      <c r="Z268" s="6" t="s">
        <v>0</v>
      </c>
      <c r="AA26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69" spans="1:27" ht="15.6" x14ac:dyDescent="0.3">
      <c r="A269" s="46" t="s">
        <v>277</v>
      </c>
      <c r="B269" s="40">
        <v>846</v>
      </c>
      <c r="C269" s="41">
        <v>67677.806642942</v>
      </c>
      <c r="D269" s="70">
        <f>IFERROR(FemalePayGapsByOccupationalSeriesAndRacialEthnicGroup[[#This Row],[White Female Employees]]/E$318,"")</f>
        <v>2.7075693650355534E-3</v>
      </c>
      <c r="E269" s="16">
        <v>1236</v>
      </c>
      <c r="F269" s="17">
        <v>55164.012145749002</v>
      </c>
      <c r="G269" s="18">
        <f>IFERROR(FemalePayGapsByOccupationalSeriesAndRacialEthnicGroup[[#This Row],[White Female Avg Salary]]/FemalePayGapsByOccupationalSeriesAndRacialEthnicGroup[[#This Row],[White Male Average Salary]],"")</f>
        <v>0.81509751692731547</v>
      </c>
      <c r="H269" s="10" t="str">
        <f>IFERROR(FemalePayGapsByOccupationalSeriesAndRacialEthnicGroup[[#This Row],[AIAN Female Employees]]/I$318,"")</f>
        <v/>
      </c>
      <c r="I269" t="s">
        <v>0</v>
      </c>
      <c r="J269" s="6" t="s">
        <v>0</v>
      </c>
      <c r="K269" s="52" t="str">
        <f>IFERROR(FemalePayGapsByOccupationalSeriesAndRacialEthnicGroup[[#This Row],[AIAN Female Avg Salary]]/FemalePayGapsByOccupationalSeriesAndRacialEthnicGroup[[#This Row],[White Male Average Salary]],"")</f>
        <v/>
      </c>
      <c r="L269" s="10">
        <f>IFERROR(FemalePayGapsByOccupationalSeriesAndRacialEthnicGroup[[#This Row],[ANHPI Female Employees]]/M$318,"")</f>
        <v>2.9148156807731274E-3</v>
      </c>
      <c r="M269" s="8">
        <v>187</v>
      </c>
      <c r="N269" s="6">
        <v>47941.704301074999</v>
      </c>
      <c r="O269" s="52">
        <f>IFERROR(FemalePayGapsByOccupationalSeriesAndRacialEthnicGroup[[#This Row],[ANHPI Female Avg Salary]]/FemalePayGapsByOccupationalSeriesAndRacialEthnicGroup[[#This Row],[White Male Average Salary]],"")</f>
        <v>0.70838147214209035</v>
      </c>
      <c r="P269" s="10">
        <f>IFERROR(FemalePayGapsByOccupationalSeriesAndRacialEthnicGroup[[#This Row],[Black Female Employees]]/Q$318,"")</f>
        <v>3.3505215882898083E-3</v>
      </c>
      <c r="Q269" s="8">
        <v>705</v>
      </c>
      <c r="R269" s="6">
        <v>53248.170212766003</v>
      </c>
      <c r="S269" s="52">
        <f>IFERROR(FemalePayGapsByOccupationalSeriesAndRacialEthnicGroup[[#This Row],[Black Female Avg Salary]]/FemalePayGapsByOccupationalSeriesAndRacialEthnicGroup[[#This Row],[White Male Average Salary]],"")</f>
        <v>0.78678924235378067</v>
      </c>
      <c r="T269" s="10">
        <f>IFERROR(FemalePayGapsByOccupationalSeriesAndRacialEthnicGroup[[#This Row],[Hispanic Latino Female Employees]]/U$318,"")</f>
        <v>3.7686026687859717E-3</v>
      </c>
      <c r="U269" s="8">
        <v>294</v>
      </c>
      <c r="V269" s="6">
        <v>51724.812925170001</v>
      </c>
      <c r="W269" s="52">
        <f>IFERROR(FemalePayGapsByOccupationalSeriesAndRacialEthnicGroup[[#This Row],[Hispanic Latino Female Avg Salary]]/FemalePayGapsByOccupationalSeriesAndRacialEthnicGroup[[#This Row],[White Male Average Salary]],"")</f>
        <v>0.76428027873394877</v>
      </c>
      <c r="X269" s="10">
        <f>IFERROR(FemalePayGapsByOccupationalSeriesAndRacialEthnicGroup[[#This Row],[Other Female Employees]]/Y$318,"")</f>
        <v>4.578599287773444E-3</v>
      </c>
      <c r="Y269" s="8">
        <v>81</v>
      </c>
      <c r="Z269" s="6">
        <v>48625.901234568002</v>
      </c>
      <c r="AA269" s="1">
        <f>IFERROR(FemalePayGapsByOccupationalSeriesAndRacialEthnicGroup[[#This Row],[Other Female Avg Salary]]/FemalePayGapsByOccupationalSeriesAndRacialEthnicGroup[[#This Row],[White Male Average Salary]],"")</f>
        <v>0.71849109252477694</v>
      </c>
    </row>
    <row r="270" spans="1:27" ht="15.6" x14ac:dyDescent="0.3">
      <c r="A270" s="45" t="s">
        <v>278</v>
      </c>
      <c r="B270" s="38">
        <v>471</v>
      </c>
      <c r="C270" s="39">
        <v>117526.435244161</v>
      </c>
      <c r="D270" s="69">
        <f>IFERROR(FemalePayGapsByOccupationalSeriesAndRacialEthnicGroup[[#This Row],[White Female Employees]]/E$318,"")</f>
        <v>6.8127352146121127E-4</v>
      </c>
      <c r="E270" s="67">
        <v>311</v>
      </c>
      <c r="F270" s="64">
        <v>104196.75562701</v>
      </c>
      <c r="G270" s="72">
        <f>IFERROR(FemalePayGapsByOccupationalSeriesAndRacialEthnicGroup[[#This Row],[White Female Avg Salary]]/FemalePayGapsByOccupationalSeriesAndRacialEthnicGroup[[#This Row],[White Male Average Salary]],"")</f>
        <v>0.88658143515151633</v>
      </c>
      <c r="H270" s="10" t="str">
        <f>IFERROR(FemalePayGapsByOccupationalSeriesAndRacialEthnicGroup[[#This Row],[AIAN Female Employees]]/I$318,"")</f>
        <v/>
      </c>
      <c r="I270" t="s">
        <v>0</v>
      </c>
      <c r="J270" s="6" t="s">
        <v>0</v>
      </c>
      <c r="K270" s="52" t="str">
        <f>IFERROR(FemalePayGapsByOccupationalSeriesAndRacialEthnicGroup[[#This Row],[AIAN Female Avg Salary]]/FemalePayGapsByOccupationalSeriesAndRacialEthnicGroup[[#This Row],[White Male Average Salary]],"")</f>
        <v/>
      </c>
      <c r="L270" s="10" t="str">
        <f>IFERROR(FemalePayGapsByOccupationalSeriesAndRacialEthnicGroup[[#This Row],[ANHPI Female Employees]]/M$318,"")</f>
        <v/>
      </c>
      <c r="M270" s="8" t="s">
        <v>0</v>
      </c>
      <c r="N270" s="6" t="s">
        <v>0</v>
      </c>
      <c r="O270" s="52" t="str">
        <f>IFERROR(FemalePayGapsByOccupationalSeriesAndRacialEthnicGroup[[#This Row],[ANHPI Female Avg Salary]]/FemalePayGapsByOccupationalSeriesAndRacialEthnicGroup[[#This Row],[White Male Average Salary]],"")</f>
        <v/>
      </c>
      <c r="P270" s="10">
        <f>IFERROR(FemalePayGapsByOccupationalSeriesAndRacialEthnicGroup[[#This Row],[Black Female Employees]]/Q$318,"")</f>
        <v>5.0376636646626901E-4</v>
      </c>
      <c r="Q270" s="8">
        <v>106</v>
      </c>
      <c r="R270" s="6">
        <v>98801.415094340002</v>
      </c>
      <c r="S270" s="52">
        <f>IFERROR(FemalePayGapsByOccupationalSeriesAndRacialEthnicGroup[[#This Row],[Black Female Avg Salary]]/FemalePayGapsByOccupationalSeriesAndRacialEthnicGroup[[#This Row],[White Male Average Salary]],"")</f>
        <v>0.84067397168203228</v>
      </c>
      <c r="T270" s="10" t="str">
        <f>IFERROR(FemalePayGapsByOccupationalSeriesAndRacialEthnicGroup[[#This Row],[Hispanic Latino Female Employees]]/U$318,"")</f>
        <v/>
      </c>
      <c r="U270" s="8" t="s">
        <v>0</v>
      </c>
      <c r="V270" s="47" t="s">
        <v>0</v>
      </c>
      <c r="W27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70" s="10" t="str">
        <f>IFERROR(FemalePayGapsByOccupationalSeriesAndRacialEthnicGroup[[#This Row],[Other Female Employees]]/Y$318,"")</f>
        <v/>
      </c>
      <c r="Y270" s="8" t="s">
        <v>0</v>
      </c>
      <c r="Z270" s="6" t="s">
        <v>0</v>
      </c>
      <c r="AA27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71" spans="1:27" ht="15.6" x14ac:dyDescent="0.3">
      <c r="A271" s="46" t="s">
        <v>279</v>
      </c>
      <c r="B271" s="40">
        <v>4694</v>
      </c>
      <c r="C271" s="41">
        <v>86089.978052417995</v>
      </c>
      <c r="D271" s="70">
        <f>IFERROR(FemalePayGapsByOccupationalSeriesAndRacialEthnicGroup[[#This Row],[White Female Employees]]/E$318,"")</f>
        <v>2.293547835916039E-3</v>
      </c>
      <c r="E271" s="16">
        <v>1047</v>
      </c>
      <c r="F271" s="17">
        <v>88341.948424069007</v>
      </c>
      <c r="G271" s="18">
        <f>IFERROR(FemalePayGapsByOccupationalSeriesAndRacialEthnicGroup[[#This Row],[White Female Avg Salary]]/FemalePayGapsByOccupationalSeriesAndRacialEthnicGroup[[#This Row],[White Male Average Salary]],"")</f>
        <v>1.0261583336713112</v>
      </c>
      <c r="H271" s="10" t="str">
        <f>IFERROR(FemalePayGapsByOccupationalSeriesAndRacialEthnicGroup[[#This Row],[AIAN Female Employees]]/I$318,"")</f>
        <v/>
      </c>
      <c r="I271" t="s">
        <v>0</v>
      </c>
      <c r="J271" s="6" t="s">
        <v>0</v>
      </c>
      <c r="K271" s="52" t="str">
        <f>IFERROR(FemalePayGapsByOccupationalSeriesAndRacialEthnicGroup[[#This Row],[AIAN Female Avg Salary]]/FemalePayGapsByOccupationalSeriesAndRacialEthnicGroup[[#This Row],[White Male Average Salary]],"")</f>
        <v/>
      </c>
      <c r="L271" s="10">
        <f>IFERROR(FemalePayGapsByOccupationalSeriesAndRacialEthnicGroup[[#This Row],[ANHPI Female Employees]]/M$318,"")</f>
        <v>8.5729872963915513E-4</v>
      </c>
      <c r="M271" s="8">
        <v>55</v>
      </c>
      <c r="N271" s="6">
        <v>89065.472727272994</v>
      </c>
      <c r="O271" s="52">
        <f>IFERROR(FemalePayGapsByOccupationalSeriesAndRacialEthnicGroup[[#This Row],[ANHPI Female Avg Salary]]/FemalePayGapsByOccupationalSeriesAndRacialEthnicGroup[[#This Row],[White Male Average Salary]],"")</f>
        <v>1.0345626139321733</v>
      </c>
      <c r="P271" s="10">
        <f>IFERROR(FemalePayGapsByOccupationalSeriesAndRacialEthnicGroup[[#This Row],[Black Female Employees]]/Q$318,"")</f>
        <v>2.0625905947769885E-3</v>
      </c>
      <c r="Q271" s="8">
        <v>434</v>
      </c>
      <c r="R271" s="6">
        <v>88706.449308755997</v>
      </c>
      <c r="S271" s="52">
        <f>IFERROR(FemalePayGapsByOccupationalSeriesAndRacialEthnicGroup[[#This Row],[Black Female Avg Salary]]/FemalePayGapsByOccupationalSeriesAndRacialEthnicGroup[[#This Row],[White Male Average Salary]],"")</f>
        <v>1.0303922862513091</v>
      </c>
      <c r="T271" s="10">
        <f>IFERROR(FemalePayGapsByOccupationalSeriesAndRacialEthnicGroup[[#This Row],[Hispanic Latino Female Employees]]/U$318,"")</f>
        <v>1.7945726994218912E-3</v>
      </c>
      <c r="U271" s="8">
        <v>140</v>
      </c>
      <c r="V271" s="6">
        <v>79686.171428571004</v>
      </c>
      <c r="W271" s="52">
        <f>IFERROR(FemalePayGapsByOccupationalSeriesAndRacialEthnicGroup[[#This Row],[Hispanic Latino Female Avg Salary]]/FemalePayGapsByOccupationalSeriesAndRacialEthnicGroup[[#This Row],[White Male Average Salary]],"")</f>
        <v>0.9256149581087374</v>
      </c>
      <c r="X271" s="10">
        <f>IFERROR(FemalePayGapsByOccupationalSeriesAndRacialEthnicGroup[[#This Row],[Other Female Employees]]/Y$318,"")</f>
        <v>3.3350291108473237E-3</v>
      </c>
      <c r="Y271" s="8">
        <v>59</v>
      </c>
      <c r="Z271" s="6">
        <v>83398.355932203005</v>
      </c>
      <c r="AA271" s="1">
        <f>IFERROR(FemalePayGapsByOccupationalSeriesAndRacialEthnicGroup[[#This Row],[Other Female Avg Salary]]/FemalePayGapsByOccupationalSeriesAndRacialEthnicGroup[[#This Row],[White Male Average Salary]],"")</f>
        <v>0.96873477980705103</v>
      </c>
    </row>
    <row r="272" spans="1:27" ht="15.6" x14ac:dyDescent="0.3">
      <c r="A272" s="45" t="s">
        <v>280</v>
      </c>
      <c r="B272" s="38">
        <v>236</v>
      </c>
      <c r="C272" s="39">
        <v>76963.351694915007</v>
      </c>
      <c r="D272" s="69">
        <f>IFERROR(FemalePayGapsByOccupationalSeriesAndRacialEthnicGroup[[#This Row],[White Female Employees]]/E$318,"")</f>
        <v>2.7601435274634281E-4</v>
      </c>
      <c r="E272" s="67">
        <v>126</v>
      </c>
      <c r="F272" s="64">
        <v>76657.277777777999</v>
      </c>
      <c r="G272" s="72">
        <f>IFERROR(FemalePayGapsByOccupationalSeriesAndRacialEthnicGroup[[#This Row],[White Female Avg Salary]]/FemalePayGapsByOccupationalSeriesAndRacialEthnicGroup[[#This Row],[White Male Average Salary]],"")</f>
        <v>0.99602312125970949</v>
      </c>
      <c r="H272" s="10" t="str">
        <f>IFERROR(FemalePayGapsByOccupationalSeriesAndRacialEthnicGroup[[#This Row],[AIAN Female Employees]]/I$318,"")</f>
        <v/>
      </c>
      <c r="I272" t="s">
        <v>0</v>
      </c>
      <c r="J272" s="6" t="s">
        <v>0</v>
      </c>
      <c r="K272" s="52" t="str">
        <f>IFERROR(FemalePayGapsByOccupationalSeriesAndRacialEthnicGroup[[#This Row],[AIAN Female Avg Salary]]/FemalePayGapsByOccupationalSeriesAndRacialEthnicGroup[[#This Row],[White Male Average Salary]],"")</f>
        <v/>
      </c>
      <c r="L272" s="10" t="str">
        <f>IFERROR(FemalePayGapsByOccupationalSeriesAndRacialEthnicGroup[[#This Row],[ANHPI Female Employees]]/M$318,"")</f>
        <v/>
      </c>
      <c r="M272" s="8" t="s">
        <v>0</v>
      </c>
      <c r="N272" s="6" t="s">
        <v>0</v>
      </c>
      <c r="O272" s="52" t="str">
        <f>IFERROR(FemalePayGapsByOccupationalSeriesAndRacialEthnicGroup[[#This Row],[ANHPI Female Avg Salary]]/FemalePayGapsByOccupationalSeriesAndRacialEthnicGroup[[#This Row],[White Male Average Salary]],"")</f>
        <v/>
      </c>
      <c r="P272" s="10">
        <f>IFERROR(FemalePayGapsByOccupationalSeriesAndRacialEthnicGroup[[#This Row],[Black Female Employees]]/Q$318,"")</f>
        <v>5.7980657272532852E-4</v>
      </c>
      <c r="Q272" s="8">
        <v>122</v>
      </c>
      <c r="R272" s="6">
        <v>79129.991803279001</v>
      </c>
      <c r="S272" s="52">
        <f>IFERROR(FemalePayGapsByOccupationalSeriesAndRacialEthnicGroup[[#This Row],[Black Female Avg Salary]]/FemalePayGapsByOccupationalSeriesAndRacialEthnicGroup[[#This Row],[White Male Average Salary]],"")</f>
        <v>1.0281515820276723</v>
      </c>
      <c r="T272" s="10" t="str">
        <f>IFERROR(FemalePayGapsByOccupationalSeriesAndRacialEthnicGroup[[#This Row],[Hispanic Latino Female Employees]]/U$318,"")</f>
        <v/>
      </c>
      <c r="U272" s="8" t="s">
        <v>0</v>
      </c>
      <c r="V272" s="6" t="s">
        <v>0</v>
      </c>
      <c r="W27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72" s="10" t="str">
        <f>IFERROR(FemalePayGapsByOccupationalSeriesAndRacialEthnicGroup[[#This Row],[Other Female Employees]]/Y$318,"")</f>
        <v/>
      </c>
      <c r="Y272" s="8" t="s">
        <v>0</v>
      </c>
      <c r="Z272" s="6" t="s">
        <v>0</v>
      </c>
      <c r="AA27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73" spans="1:27" ht="15.6" x14ac:dyDescent="0.3">
      <c r="A273" s="46" t="s">
        <v>281</v>
      </c>
      <c r="B273" s="40">
        <v>101</v>
      </c>
      <c r="C273" s="41">
        <v>123929.346534653</v>
      </c>
      <c r="D273" s="70">
        <f>IFERROR(FemalePayGapsByOccupationalSeriesAndRacialEthnicGroup[[#This Row],[White Female Employees]]/E$318,"")</f>
        <v>3.6582854689396231E-4</v>
      </c>
      <c r="E273" s="16">
        <v>167</v>
      </c>
      <c r="F273" s="17">
        <v>120424.38922155699</v>
      </c>
      <c r="G273" s="18">
        <f>IFERROR(FemalePayGapsByOccupationalSeriesAndRacialEthnicGroup[[#This Row],[White Female Avg Salary]]/FemalePayGapsByOccupationalSeriesAndRacialEthnicGroup[[#This Row],[White Male Average Salary]],"")</f>
        <v>0.97171810058632113</v>
      </c>
      <c r="H273" s="10" t="str">
        <f>IFERROR(FemalePayGapsByOccupationalSeriesAndRacialEthnicGroup[[#This Row],[AIAN Female Employees]]/I$318,"")</f>
        <v/>
      </c>
      <c r="I273" t="s">
        <v>0</v>
      </c>
      <c r="J273" s="6" t="s">
        <v>0</v>
      </c>
      <c r="K273" s="52" t="str">
        <f>IFERROR(FemalePayGapsByOccupationalSeriesAndRacialEthnicGroup[[#This Row],[AIAN Female Avg Salary]]/FemalePayGapsByOccupationalSeriesAndRacialEthnicGroup[[#This Row],[White Male Average Salary]],"")</f>
        <v/>
      </c>
      <c r="L273" s="10" t="str">
        <f>IFERROR(FemalePayGapsByOccupationalSeriesAndRacialEthnicGroup[[#This Row],[ANHPI Female Employees]]/M$318,"")</f>
        <v/>
      </c>
      <c r="M273" s="8" t="s">
        <v>0</v>
      </c>
      <c r="N273" s="6" t="s">
        <v>0</v>
      </c>
      <c r="O273" s="52" t="str">
        <f>IFERROR(FemalePayGapsByOccupationalSeriesAndRacialEthnicGroup[[#This Row],[ANHPI Female Avg Salary]]/FemalePayGapsByOccupationalSeriesAndRacialEthnicGroup[[#This Row],[White Male Average Salary]],"")</f>
        <v/>
      </c>
      <c r="P273" s="10">
        <f>IFERROR(FemalePayGapsByOccupationalSeriesAndRacialEthnicGroup[[#This Row],[Black Female Employees]]/Q$318,"")</f>
        <v>5.0851887935746023E-4</v>
      </c>
      <c r="Q273" s="8">
        <v>107</v>
      </c>
      <c r="R273" s="6">
        <v>125493.90654205599</v>
      </c>
      <c r="S273" s="52">
        <f>IFERROR(FemalePayGapsByOccupationalSeriesAndRacialEthnicGroup[[#This Row],[Black Female Avg Salary]]/FemalePayGapsByOccupationalSeriesAndRacialEthnicGroup[[#This Row],[White Male Average Salary]],"")</f>
        <v>1.0126246127422733</v>
      </c>
      <c r="T273" s="10" t="str">
        <f>IFERROR(FemalePayGapsByOccupationalSeriesAndRacialEthnicGroup[[#This Row],[Hispanic Latino Female Employees]]/U$318,"")</f>
        <v/>
      </c>
      <c r="U273" s="8" t="s">
        <v>0</v>
      </c>
      <c r="V273" s="6" t="s">
        <v>0</v>
      </c>
      <c r="W27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73" s="10" t="str">
        <f>IFERROR(FemalePayGapsByOccupationalSeriesAndRacialEthnicGroup[[#This Row],[Other Female Employees]]/Y$318,"")</f>
        <v/>
      </c>
      <c r="Y273" s="8" t="s">
        <v>0</v>
      </c>
      <c r="Z273" s="6" t="s">
        <v>0</v>
      </c>
      <c r="AA27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74" spans="1:27" ht="15.6" x14ac:dyDescent="0.3">
      <c r="A274" s="45" t="s">
        <v>282</v>
      </c>
      <c r="B274" s="38">
        <v>244</v>
      </c>
      <c r="C274" s="39">
        <v>81065.151639343996</v>
      </c>
      <c r="D274" s="69">
        <f>IFERROR(FemalePayGapsByOccupationalSeriesAndRacialEthnicGroup[[#This Row],[White Female Employees]]/E$318,"")</f>
        <v>5.3450398468339404E-4</v>
      </c>
      <c r="E274" s="67">
        <v>244</v>
      </c>
      <c r="F274" s="64">
        <v>78262.299180328002</v>
      </c>
      <c r="G274" s="72">
        <f>IFERROR(FemalePayGapsByOccupationalSeriesAndRacialEthnicGroup[[#This Row],[White Female Avg Salary]]/FemalePayGapsByOccupationalSeriesAndRacialEthnicGroup[[#This Row],[White Male Average Salary]],"")</f>
        <v>0.96542469356640714</v>
      </c>
      <c r="H274" s="10" t="str">
        <f>IFERROR(FemalePayGapsByOccupationalSeriesAndRacialEthnicGroup[[#This Row],[AIAN Female Employees]]/I$318,"")</f>
        <v/>
      </c>
      <c r="I274" t="s">
        <v>0</v>
      </c>
      <c r="J274" s="6" t="s">
        <v>0</v>
      </c>
      <c r="K274" s="52" t="str">
        <f>IFERROR(FemalePayGapsByOccupationalSeriesAndRacialEthnicGroup[[#This Row],[AIAN Female Avg Salary]]/FemalePayGapsByOccupationalSeriesAndRacialEthnicGroup[[#This Row],[White Male Average Salary]],"")</f>
        <v/>
      </c>
      <c r="L274" s="10" t="str">
        <f>IFERROR(FemalePayGapsByOccupationalSeriesAndRacialEthnicGroup[[#This Row],[ANHPI Female Employees]]/M$318,"")</f>
        <v/>
      </c>
      <c r="M274" s="8" t="s">
        <v>0</v>
      </c>
      <c r="N274" s="6" t="s">
        <v>0</v>
      </c>
      <c r="O274" s="52" t="str">
        <f>IFERROR(FemalePayGapsByOccupationalSeriesAndRacialEthnicGroup[[#This Row],[ANHPI Female Avg Salary]]/FemalePayGapsByOccupationalSeriesAndRacialEthnicGroup[[#This Row],[White Male Average Salary]],"")</f>
        <v/>
      </c>
      <c r="P274" s="10">
        <f>IFERROR(FemalePayGapsByOccupationalSeriesAndRacialEthnicGroup[[#This Row],[Black Female Employees]]/Q$318,"")</f>
        <v>5.4178646959579882E-4</v>
      </c>
      <c r="Q274" s="8">
        <v>114</v>
      </c>
      <c r="R274" s="6">
        <v>74740.543859648998</v>
      </c>
      <c r="S274" s="52">
        <f>IFERROR(FemalePayGapsByOccupationalSeriesAndRacialEthnicGroup[[#This Row],[Black Female Avg Salary]]/FemalePayGapsByOccupationalSeriesAndRacialEthnicGroup[[#This Row],[White Male Average Salary]],"")</f>
        <v>0.92198117622930065</v>
      </c>
      <c r="T274" s="10" t="str">
        <f>IFERROR(FemalePayGapsByOccupationalSeriesAndRacialEthnicGroup[[#This Row],[Hispanic Latino Female Employees]]/U$318,"")</f>
        <v/>
      </c>
      <c r="U274" s="8" t="s">
        <v>0</v>
      </c>
      <c r="V274" s="6" t="s">
        <v>0</v>
      </c>
      <c r="W27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74" s="10" t="str">
        <f>IFERROR(FemalePayGapsByOccupationalSeriesAndRacialEthnicGroup[[#This Row],[Other Female Employees]]/Y$318,"")</f>
        <v/>
      </c>
      <c r="Y274" s="8" t="s">
        <v>0</v>
      </c>
      <c r="Z274" s="6" t="s">
        <v>0</v>
      </c>
      <c r="AA27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75" spans="1:27" ht="15.6" x14ac:dyDescent="0.3">
      <c r="A275" s="46" t="s">
        <v>283</v>
      </c>
      <c r="B275" s="40">
        <v>870</v>
      </c>
      <c r="C275" s="41">
        <v>101170.431034483</v>
      </c>
      <c r="D275" s="70">
        <f>IFERROR(FemalePayGapsByOccupationalSeriesAndRacialEthnicGroup[[#This Row],[White Female Employees]]/E$318,"")</f>
        <v>1.1172009515923399E-3</v>
      </c>
      <c r="E275" s="16">
        <v>510</v>
      </c>
      <c r="F275" s="17">
        <v>106145.740667976</v>
      </c>
      <c r="G275" s="18">
        <f>IFERROR(FemalePayGapsByOccupationalSeriesAndRacialEthnicGroup[[#This Row],[White Female Avg Salary]]/FemalePayGapsByOccupationalSeriesAndRacialEthnicGroup[[#This Row],[White Male Average Salary]],"")</f>
        <v>1.0491775075248737</v>
      </c>
      <c r="H275" s="10" t="str">
        <f>IFERROR(FemalePayGapsByOccupationalSeriesAndRacialEthnicGroup[[#This Row],[AIAN Female Employees]]/I$318,"")</f>
        <v/>
      </c>
      <c r="I275" t="s">
        <v>0</v>
      </c>
      <c r="J275" s="6" t="s">
        <v>0</v>
      </c>
      <c r="K275" s="52" t="str">
        <f>IFERROR(FemalePayGapsByOccupationalSeriesAndRacialEthnicGroup[[#This Row],[AIAN Female Avg Salary]]/FemalePayGapsByOccupationalSeriesAndRacialEthnicGroup[[#This Row],[White Male Average Salary]],"")</f>
        <v/>
      </c>
      <c r="L275" s="10" t="str">
        <f>IFERROR(FemalePayGapsByOccupationalSeriesAndRacialEthnicGroup[[#This Row],[ANHPI Female Employees]]/M$318,"")</f>
        <v/>
      </c>
      <c r="M275" s="8" t="s">
        <v>0</v>
      </c>
      <c r="N275" s="6" t="s">
        <v>0</v>
      </c>
      <c r="O275" s="52" t="str">
        <f>IFERROR(FemalePayGapsByOccupationalSeriesAndRacialEthnicGroup[[#This Row],[ANHPI Female Avg Salary]]/FemalePayGapsByOccupationalSeriesAndRacialEthnicGroup[[#This Row],[White Male Average Salary]],"")</f>
        <v/>
      </c>
      <c r="P275" s="10">
        <f>IFERROR(FemalePayGapsByOccupationalSeriesAndRacialEthnicGroup[[#This Row],[Black Female Employees]]/Q$318,"")</f>
        <v>9.8377016847658199E-4</v>
      </c>
      <c r="Q275" s="8">
        <v>207</v>
      </c>
      <c r="R275" s="6">
        <v>102062.84057971</v>
      </c>
      <c r="S275" s="52">
        <f>IFERROR(FemalePayGapsByOccupationalSeriesAndRacialEthnicGroup[[#This Row],[Black Female Avg Salary]]/FemalePayGapsByOccupationalSeriesAndRacialEthnicGroup[[#This Row],[White Male Average Salary]],"")</f>
        <v>1.0088208534460315</v>
      </c>
      <c r="T275" s="10">
        <f>IFERROR(FemalePayGapsByOccupationalSeriesAndRacialEthnicGroup[[#This Row],[Hispanic Latino Female Employees]]/U$318,"")</f>
        <v>6.5373719764654609E-4</v>
      </c>
      <c r="U275" s="8">
        <v>51</v>
      </c>
      <c r="V275" s="6">
        <v>103105.156862745</v>
      </c>
      <c r="W275" s="52">
        <f>IFERROR(FemalePayGapsByOccupationalSeriesAndRacialEthnicGroup[[#This Row],[Hispanic Latino Female Avg Salary]]/FemalePayGapsByOccupationalSeriesAndRacialEthnicGroup[[#This Row],[White Male Average Salary]],"")</f>
        <v>1.0191234317031086</v>
      </c>
      <c r="X275" s="10" t="str">
        <f>IFERROR(FemalePayGapsByOccupationalSeriesAndRacialEthnicGroup[[#This Row],[Other Female Employees]]/Y$318,"")</f>
        <v/>
      </c>
      <c r="Y275" s="8" t="s">
        <v>0</v>
      </c>
      <c r="Z275" s="6" t="s">
        <v>0</v>
      </c>
      <c r="AA27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76" spans="1:27" ht="15.6" x14ac:dyDescent="0.3">
      <c r="A276" s="45" t="s">
        <v>284</v>
      </c>
      <c r="B276" s="38">
        <v>16968</v>
      </c>
      <c r="C276" s="39">
        <v>102901.326672561</v>
      </c>
      <c r="D276" s="69">
        <f>IFERROR(FemalePayGapsByOccupationalSeriesAndRacialEthnicGroup[[#This Row],[White Female Employees]]/E$318,"")</f>
        <v>1.449513469938532E-2</v>
      </c>
      <c r="E276" s="67">
        <v>6617</v>
      </c>
      <c r="F276" s="64">
        <v>100209.371540904</v>
      </c>
      <c r="G276" s="72">
        <f>IFERROR(FemalePayGapsByOccupationalSeriesAndRacialEthnicGroup[[#This Row],[White Female Avg Salary]]/FemalePayGapsByOccupationalSeriesAndRacialEthnicGroup[[#This Row],[White Male Average Salary]],"")</f>
        <v>0.97383945165038555</v>
      </c>
      <c r="H276" s="10">
        <f>IFERROR(FemalePayGapsByOccupationalSeriesAndRacialEthnicGroup[[#This Row],[AIAN Female Employees]]/I$318,"")</f>
        <v>5.0455927051671736E-3</v>
      </c>
      <c r="I276">
        <v>83</v>
      </c>
      <c r="J276" s="6">
        <v>97740.048192771006</v>
      </c>
      <c r="K276" s="52">
        <f>IFERROR(FemalePayGapsByOccupationalSeriesAndRacialEthnicGroup[[#This Row],[AIAN Female Avg Salary]]/FemalePayGapsByOccupationalSeriesAndRacialEthnicGroup[[#This Row],[White Male Average Salary]],"")</f>
        <v>0.94984244959043596</v>
      </c>
      <c r="L276" s="10">
        <f>IFERROR(FemalePayGapsByOccupationalSeriesAndRacialEthnicGroup[[#This Row],[ANHPI Female Employees]]/M$318,"")</f>
        <v>1.452731665497623E-2</v>
      </c>
      <c r="M276" s="8">
        <v>932</v>
      </c>
      <c r="N276" s="6">
        <v>103453.38412017201</v>
      </c>
      <c r="O276" s="52">
        <f>IFERROR(FemalePayGapsByOccupationalSeriesAndRacialEthnicGroup[[#This Row],[ANHPI Female Avg Salary]]/FemalePayGapsByOccupationalSeriesAndRacialEthnicGroup[[#This Row],[White Male Average Salary]],"")</f>
        <v>1.0053649206036739</v>
      </c>
      <c r="P276" s="10">
        <f>IFERROR(FemalePayGapsByOccupationalSeriesAndRacialEthnicGroup[[#This Row],[Black Female Employees]]/Q$318,"")</f>
        <v>1.061711379892118E-2</v>
      </c>
      <c r="Q276" s="8">
        <v>2234</v>
      </c>
      <c r="R276" s="6">
        <v>99404.253357206995</v>
      </c>
      <c r="S276" s="52">
        <f>IFERROR(FemalePayGapsByOccupationalSeriesAndRacialEthnicGroup[[#This Row],[Black Female Avg Salary]]/FemalePayGapsByOccupationalSeriesAndRacialEthnicGroup[[#This Row],[White Male Average Salary]],"")</f>
        <v>0.96601527474488325</v>
      </c>
      <c r="T276" s="10">
        <f>IFERROR(FemalePayGapsByOccupationalSeriesAndRacialEthnicGroup[[#This Row],[Hispanic Latino Female Employees]]/U$318,"")</f>
        <v>2.5252201556150898E-2</v>
      </c>
      <c r="U276" s="8">
        <v>1970</v>
      </c>
      <c r="V276" s="6">
        <v>95932.802538071002</v>
      </c>
      <c r="W276" s="52">
        <f>IFERROR(FemalePayGapsByOccupationalSeriesAndRacialEthnicGroup[[#This Row],[Hispanic Latino Female Avg Salary]]/FemalePayGapsByOccupationalSeriesAndRacialEthnicGroup[[#This Row],[White Male Average Salary]],"")</f>
        <v>0.93227955012995789</v>
      </c>
      <c r="X276" s="10">
        <f>IFERROR(FemalePayGapsByOccupationalSeriesAndRacialEthnicGroup[[#This Row],[Other Female Employees]]/Y$318,"")</f>
        <v>1.4357582951783392E-2</v>
      </c>
      <c r="Y276" s="8">
        <v>254</v>
      </c>
      <c r="Z276" s="6">
        <v>95580.716535433006</v>
      </c>
      <c r="AA276" s="1">
        <f>IFERROR(FemalePayGapsByOccupationalSeriesAndRacialEthnicGroup[[#This Row],[Other Female Avg Salary]]/FemalePayGapsByOccupationalSeriesAndRacialEthnicGroup[[#This Row],[White Male Average Salary]],"")</f>
        <v>0.92885796156523159</v>
      </c>
    </row>
    <row r="277" spans="1:27" ht="15.6" x14ac:dyDescent="0.3">
      <c r="A277" s="46" t="s">
        <v>285</v>
      </c>
      <c r="B277" s="40">
        <v>11164</v>
      </c>
      <c r="C277" s="41">
        <v>50455.006285919997</v>
      </c>
      <c r="D277" s="70">
        <f>IFERROR(FemalePayGapsByOccupationalSeriesAndRacialEthnicGroup[[#This Row],[White Female Employees]]/E$318,"")</f>
        <v>1.5005542192955938E-2</v>
      </c>
      <c r="E277" s="16">
        <v>6850</v>
      </c>
      <c r="F277" s="17">
        <v>51050.882275518998</v>
      </c>
      <c r="G277" s="18">
        <f>IFERROR(FemalePayGapsByOccupationalSeriesAndRacialEthnicGroup[[#This Row],[White Female Avg Salary]]/FemalePayGapsByOccupationalSeriesAndRacialEthnicGroup[[#This Row],[White Male Average Salary]],"")</f>
        <v>1.0118100468806261</v>
      </c>
      <c r="H277" s="10">
        <f>IFERROR(FemalePayGapsByOccupationalSeriesAndRacialEthnicGroup[[#This Row],[AIAN Female Employees]]/I$318,"")</f>
        <v>9.3009118541033439E-3</v>
      </c>
      <c r="I277">
        <v>153</v>
      </c>
      <c r="J277" s="6">
        <v>50786.210526315997</v>
      </c>
      <c r="K277" s="52">
        <f>IFERROR(FemalePayGapsByOccupationalSeriesAndRacialEthnicGroup[[#This Row],[AIAN Female Avg Salary]]/FemalePayGapsByOccupationalSeriesAndRacialEthnicGroup[[#This Row],[White Male Average Salary]],"")</f>
        <v>1.0065643484121105</v>
      </c>
      <c r="L277" s="10">
        <f>IFERROR(FemalePayGapsByOccupationalSeriesAndRacialEthnicGroup[[#This Row],[ANHPI Female Employees]]/M$318,"")</f>
        <v>1.9655521783181359E-2</v>
      </c>
      <c r="M277" s="8">
        <v>1261</v>
      </c>
      <c r="N277" s="6">
        <v>49730.167460317003</v>
      </c>
      <c r="O277" s="52">
        <f>IFERROR(FemalePayGapsByOccupationalSeriesAndRacialEthnicGroup[[#This Row],[ANHPI Female Avg Salary]]/FemalePayGapsByOccupationalSeriesAndRacialEthnicGroup[[#This Row],[White Male Average Salary]],"")</f>
        <v>0.98563395629176109</v>
      </c>
      <c r="P277" s="10">
        <f>IFERROR(FemalePayGapsByOccupationalSeriesAndRacialEthnicGroup[[#This Row],[Black Female Employees]]/Q$318,"")</f>
        <v>3.0682223225530499E-2</v>
      </c>
      <c r="Q277" s="8">
        <v>6456</v>
      </c>
      <c r="R277" s="6">
        <v>49220.535171985997</v>
      </c>
      <c r="S277" s="52">
        <f>IFERROR(FemalePayGapsByOccupationalSeriesAndRacialEthnicGroup[[#This Row],[Black Female Avg Salary]]/FemalePayGapsByOccupationalSeriesAndRacialEthnicGroup[[#This Row],[White Male Average Salary]],"")</f>
        <v>0.97553322841863377</v>
      </c>
      <c r="T277" s="10">
        <f>IFERROR(FemalePayGapsByOccupationalSeriesAndRacialEthnicGroup[[#This Row],[Hispanic Latino Female Employees]]/U$318,"")</f>
        <v>6.2797226103341749E-2</v>
      </c>
      <c r="U277" s="8">
        <v>4899</v>
      </c>
      <c r="V277" s="6">
        <v>48540.057365294</v>
      </c>
      <c r="W277" s="52">
        <f>IFERROR(FemalePayGapsByOccupationalSeriesAndRacialEthnicGroup[[#This Row],[Hispanic Latino Female Avg Salary]]/FemalePayGapsByOccupationalSeriesAndRacialEthnicGroup[[#This Row],[White Male Average Salary]],"")</f>
        <v>0.96204640408180098</v>
      </c>
      <c r="X277" s="10">
        <f>IFERROR(FemalePayGapsByOccupationalSeriesAndRacialEthnicGroup[[#This Row],[Other Female Employees]]/Y$318,"")</f>
        <v>2.8771691820699791E-2</v>
      </c>
      <c r="Y277" s="8">
        <v>509</v>
      </c>
      <c r="Z277" s="6">
        <v>46050.001964636998</v>
      </c>
      <c r="AA277" s="1">
        <f>IFERROR(FemalePayGapsByOccupationalSeriesAndRacialEthnicGroup[[#This Row],[Other Female Avg Salary]]/FemalePayGapsByOccupationalSeriesAndRacialEthnicGroup[[#This Row],[White Male Average Salary]],"")</f>
        <v>0.91269440546056846</v>
      </c>
    </row>
    <row r="278" spans="1:27" ht="15.6" x14ac:dyDescent="0.3">
      <c r="A278" s="45" t="s">
        <v>286</v>
      </c>
      <c r="B278" s="38">
        <v>362</v>
      </c>
      <c r="C278" s="39">
        <v>92266.168508286995</v>
      </c>
      <c r="D278" s="69">
        <f>IFERROR(FemalePayGapsByOccupationalSeriesAndRacialEthnicGroup[[#This Row],[White Female Employees]]/E$318,"")</f>
        <v>1.2157775061446053E-3</v>
      </c>
      <c r="E278" s="67">
        <v>555</v>
      </c>
      <c r="F278" s="64">
        <v>86595.749549550004</v>
      </c>
      <c r="G278" s="72">
        <f>IFERROR(FemalePayGapsByOccupationalSeriesAndRacialEthnicGroup[[#This Row],[White Female Avg Salary]]/FemalePayGapsByOccupationalSeriesAndRacialEthnicGroup[[#This Row],[White Male Average Salary]],"")</f>
        <v>0.93854281530908379</v>
      </c>
      <c r="H278" s="10" t="str">
        <f>IFERROR(FemalePayGapsByOccupationalSeriesAndRacialEthnicGroup[[#This Row],[AIAN Female Employees]]/I$318,"")</f>
        <v/>
      </c>
      <c r="I278" t="s">
        <v>0</v>
      </c>
      <c r="J278" s="6" t="s">
        <v>0</v>
      </c>
      <c r="K278" s="52" t="str">
        <f>IFERROR(FemalePayGapsByOccupationalSeriesAndRacialEthnicGroup[[#This Row],[AIAN Female Avg Salary]]/FemalePayGapsByOccupationalSeriesAndRacialEthnicGroup[[#This Row],[White Male Average Salary]],"")</f>
        <v/>
      </c>
      <c r="L278" s="10" t="str">
        <f>IFERROR(FemalePayGapsByOccupationalSeriesAndRacialEthnicGroup[[#This Row],[ANHPI Female Employees]]/M$318,"")</f>
        <v/>
      </c>
      <c r="M278" s="8" t="s">
        <v>0</v>
      </c>
      <c r="N278" s="6" t="s">
        <v>0</v>
      </c>
      <c r="O278" s="52" t="str">
        <f>IFERROR(FemalePayGapsByOccupationalSeriesAndRacialEthnicGroup[[#This Row],[ANHPI Female Avg Salary]]/FemalePayGapsByOccupationalSeriesAndRacialEthnicGroup[[#This Row],[White Male Average Salary]],"")</f>
        <v/>
      </c>
      <c r="P278" s="10">
        <f>IFERROR(FemalePayGapsByOccupationalSeriesAndRacialEthnicGroup[[#This Row],[Black Female Employees]]/Q$318,"")</f>
        <v>7.9366965282893327E-4</v>
      </c>
      <c r="Q278" s="8">
        <v>167</v>
      </c>
      <c r="R278" s="6">
        <v>91404.359281437006</v>
      </c>
      <c r="S278" s="52">
        <f>IFERROR(FemalePayGapsByOccupationalSeriesAndRacialEthnicGroup[[#This Row],[Black Female Avg Salary]]/FemalePayGapsByOccupationalSeriesAndRacialEthnicGroup[[#This Row],[White Male Average Salary]],"")</f>
        <v>0.9906595316486716</v>
      </c>
      <c r="T278" s="10">
        <f>IFERROR(FemalePayGapsByOccupationalSeriesAndRacialEthnicGroup[[#This Row],[Hispanic Latino Female Employees]]/U$318,"")</f>
        <v>1.5766603002063759E-3</v>
      </c>
      <c r="U278" s="8">
        <v>123</v>
      </c>
      <c r="V278" s="6">
        <v>79556.138211382</v>
      </c>
      <c r="W278" s="52">
        <f>IFERROR(FemalePayGapsByOccupationalSeriesAndRacialEthnicGroup[[#This Row],[Hispanic Latino Female Avg Salary]]/FemalePayGapsByOccupationalSeriesAndRacialEthnicGroup[[#This Row],[White Male Average Salary]],"")</f>
        <v>0.86224603771464259</v>
      </c>
      <c r="X278" s="10" t="str">
        <f>IFERROR(FemalePayGapsByOccupationalSeriesAndRacialEthnicGroup[[#This Row],[Other Female Employees]]/Y$318,"")</f>
        <v/>
      </c>
      <c r="Y278" s="8" t="s">
        <v>0</v>
      </c>
      <c r="Z278" s="6" t="s">
        <v>0</v>
      </c>
      <c r="AA27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79" spans="1:27" ht="15.6" x14ac:dyDescent="0.3">
      <c r="A279" s="46" t="s">
        <v>287</v>
      </c>
      <c r="B279" s="40">
        <v>958</v>
      </c>
      <c r="C279" s="41">
        <v>103614.5</v>
      </c>
      <c r="D279" s="70">
        <f>IFERROR(FemalePayGapsByOccupationalSeriesAndRacialEthnicGroup[[#This Row],[White Female Employees]]/E$318,"")</f>
        <v>1.4633141875758492E-3</v>
      </c>
      <c r="E279" s="16">
        <v>668</v>
      </c>
      <c r="F279" s="17">
        <v>101244.775112444</v>
      </c>
      <c r="G279" s="18">
        <f>IFERROR(FemalePayGapsByOccupationalSeriesAndRacialEthnicGroup[[#This Row],[White Female Avg Salary]]/FemalePayGapsByOccupationalSeriesAndRacialEthnicGroup[[#This Row],[White Male Average Salary]],"")</f>
        <v>0.97712940864882802</v>
      </c>
      <c r="H279" s="10" t="str">
        <f>IFERROR(FemalePayGapsByOccupationalSeriesAndRacialEthnicGroup[[#This Row],[AIAN Female Employees]]/I$318,"")</f>
        <v/>
      </c>
      <c r="I279" t="s">
        <v>0</v>
      </c>
      <c r="J279" s="6" t="s">
        <v>0</v>
      </c>
      <c r="K279" s="52" t="str">
        <f>IFERROR(FemalePayGapsByOccupationalSeriesAndRacialEthnicGroup[[#This Row],[AIAN Female Avg Salary]]/FemalePayGapsByOccupationalSeriesAndRacialEthnicGroup[[#This Row],[White Male Average Salary]],"")</f>
        <v/>
      </c>
      <c r="L279" s="10" t="str">
        <f>IFERROR(FemalePayGapsByOccupationalSeriesAndRacialEthnicGroup[[#This Row],[ANHPI Female Employees]]/M$318,"")</f>
        <v/>
      </c>
      <c r="M279" s="8" t="s">
        <v>0</v>
      </c>
      <c r="N279" s="6" t="s">
        <v>0</v>
      </c>
      <c r="O279" s="52" t="str">
        <f>IFERROR(FemalePayGapsByOccupationalSeriesAndRacialEthnicGroup[[#This Row],[ANHPI Female Avg Salary]]/FemalePayGapsByOccupationalSeriesAndRacialEthnicGroup[[#This Row],[White Male Average Salary]],"")</f>
        <v/>
      </c>
      <c r="P279" s="10">
        <f>IFERROR(FemalePayGapsByOccupationalSeriesAndRacialEthnicGroup[[#This Row],[Black Female Employees]]/Q$318,"")</f>
        <v>1.0550578618444503E-3</v>
      </c>
      <c r="Q279" s="8">
        <v>222</v>
      </c>
      <c r="R279" s="6">
        <v>101699.12162162201</v>
      </c>
      <c r="S279" s="52">
        <f>IFERROR(FemalePayGapsByOccupationalSeriesAndRacialEthnicGroup[[#This Row],[Black Female Avg Salary]]/FemalePayGapsByOccupationalSeriesAndRacialEthnicGroup[[#This Row],[White Male Average Salary]],"")</f>
        <v>0.98151437898770932</v>
      </c>
      <c r="T279" s="10">
        <f>IFERROR(FemalePayGapsByOccupationalSeriesAndRacialEthnicGroup[[#This Row],[Hispanic Latino Female Employees]]/U$318,"")</f>
        <v>1.7945726994218912E-3</v>
      </c>
      <c r="U279" s="8">
        <v>140</v>
      </c>
      <c r="V279" s="6">
        <v>100546.407142857</v>
      </c>
      <c r="W279" s="52">
        <f>IFERROR(FemalePayGapsByOccupationalSeriesAndRacialEthnicGroup[[#This Row],[Hispanic Latino Female Avg Salary]]/FemalePayGapsByOccupationalSeriesAndRacialEthnicGroup[[#This Row],[White Male Average Salary]],"")</f>
        <v>0.9703893484295828</v>
      </c>
      <c r="X279" s="10" t="str">
        <f>IFERROR(FemalePayGapsByOccupationalSeriesAndRacialEthnicGroup[[#This Row],[Other Female Employees]]/Y$318,"")</f>
        <v/>
      </c>
      <c r="Y279" s="8" t="s">
        <v>0</v>
      </c>
      <c r="Z279" s="6" t="s">
        <v>0</v>
      </c>
      <c r="AA27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80" spans="1:27" ht="15.6" x14ac:dyDescent="0.3">
      <c r="A280" s="45" t="s">
        <v>288</v>
      </c>
      <c r="B280" s="38">
        <v>26452</v>
      </c>
      <c r="C280" s="39">
        <v>118363.64472092</v>
      </c>
      <c r="D280" s="69">
        <f>IFERROR(FemalePayGapsByOccupationalSeriesAndRacialEthnicGroup[[#This Row],[White Female Employees]]/E$318,"")</f>
        <v>1.1866426577991579E-2</v>
      </c>
      <c r="E280" s="67">
        <v>5417</v>
      </c>
      <c r="F280" s="64">
        <v>113433.592578918</v>
      </c>
      <c r="G280" s="72">
        <f>IFERROR(FemalePayGapsByOccupationalSeriesAndRacialEthnicGroup[[#This Row],[White Female Avg Salary]]/FemalePayGapsByOccupationalSeriesAndRacialEthnicGroup[[#This Row],[White Male Average Salary]],"")</f>
        <v>0.95834825673350832</v>
      </c>
      <c r="H280" s="10">
        <f>IFERROR(FemalePayGapsByOccupationalSeriesAndRacialEthnicGroup[[#This Row],[AIAN Female Employees]]/I$318,"")</f>
        <v>3.282674772036474E-3</v>
      </c>
      <c r="I280">
        <v>54</v>
      </c>
      <c r="J280" s="6">
        <v>96400.296296296001</v>
      </c>
      <c r="K280" s="52">
        <f>IFERROR(FemalePayGapsByOccupationalSeriesAndRacialEthnicGroup[[#This Row],[AIAN Female Avg Salary]]/FemalePayGapsByOccupationalSeriesAndRacialEthnicGroup[[#This Row],[White Male Average Salary]],"")</f>
        <v>0.81444176988289274</v>
      </c>
      <c r="L280" s="10">
        <f>IFERROR(FemalePayGapsByOccupationalSeriesAndRacialEthnicGroup[[#This Row],[ANHPI Female Employees]]/M$318,"")</f>
        <v>5.5490608682098042E-3</v>
      </c>
      <c r="M280" s="8">
        <v>356</v>
      </c>
      <c r="N280" s="6">
        <v>119471.80898876399</v>
      </c>
      <c r="O280" s="52">
        <f>IFERROR(FemalePayGapsByOccupationalSeriesAndRacialEthnicGroup[[#This Row],[ANHPI Female Avg Salary]]/FemalePayGapsByOccupationalSeriesAndRacialEthnicGroup[[#This Row],[White Male Average Salary]],"")</f>
        <v>1.009362370265438</v>
      </c>
      <c r="P280" s="10">
        <f>IFERROR(FemalePayGapsByOccupationalSeriesAndRacialEthnicGroup[[#This Row],[Black Female Employees]]/Q$318,"")</f>
        <v>3.3600266140721906E-3</v>
      </c>
      <c r="Q280" s="8">
        <v>707</v>
      </c>
      <c r="R280" s="6">
        <v>118374.98583569399</v>
      </c>
      <c r="S280" s="52">
        <f>IFERROR(FemalePayGapsByOccupationalSeriesAndRacialEthnicGroup[[#This Row],[Black Female Avg Salary]]/FemalePayGapsByOccupationalSeriesAndRacialEthnicGroup[[#This Row],[White Male Average Salary]],"")</f>
        <v>1.0000958158630611</v>
      </c>
      <c r="T280" s="10">
        <f>IFERROR(FemalePayGapsByOccupationalSeriesAndRacialEthnicGroup[[#This Row],[Hispanic Latino Female Employees]]/U$318,"")</f>
        <v>1.2549190519528797E-2</v>
      </c>
      <c r="U280" s="8">
        <v>979</v>
      </c>
      <c r="V280" s="6">
        <v>112747.54749744599</v>
      </c>
      <c r="W280" s="52">
        <f>IFERROR(FemalePayGapsByOccupationalSeriesAndRacialEthnicGroup[[#This Row],[Hispanic Latino Female Avg Salary]]/FemalePayGapsByOccupationalSeriesAndRacialEthnicGroup[[#This Row],[White Male Average Salary]],"")</f>
        <v>0.95255217734536868</v>
      </c>
      <c r="X280" s="10">
        <f>IFERROR(FemalePayGapsByOccupationalSeriesAndRacialEthnicGroup[[#This Row],[Other Female Employees]]/Y$318,"")</f>
        <v>9.6094059126109327E-3</v>
      </c>
      <c r="Y280" s="8">
        <v>170</v>
      </c>
      <c r="Z280" s="6">
        <v>107064.382352941</v>
      </c>
      <c r="AA280" s="1">
        <f>IFERROR(FemalePayGapsByOccupationalSeriesAndRacialEthnicGroup[[#This Row],[Other Female Avg Salary]]/FemalePayGapsByOccupationalSeriesAndRacialEthnicGroup[[#This Row],[White Male Average Salary]],"")</f>
        <v>0.90453772866980731</v>
      </c>
    </row>
    <row r="281" spans="1:27" ht="31.2" x14ac:dyDescent="0.3">
      <c r="A281" s="46" t="s">
        <v>289</v>
      </c>
      <c r="B281" s="40">
        <v>904</v>
      </c>
      <c r="C281" s="41">
        <v>98365.689159292</v>
      </c>
      <c r="D281" s="70">
        <f>IFERROR(FemalePayGapsByOccupationalSeriesAndRacialEthnicGroup[[#This Row],[White Female Employees]]/E$318,"")</f>
        <v>8.5433013945296585E-5</v>
      </c>
      <c r="E281" s="16">
        <v>39</v>
      </c>
      <c r="F281" s="17">
        <v>90663.435897435993</v>
      </c>
      <c r="G281" s="18">
        <f>IFERROR(FemalePayGapsByOccupationalSeriesAndRacialEthnicGroup[[#This Row],[White Female Avg Salary]]/FemalePayGapsByOccupationalSeriesAndRacialEthnicGroup[[#This Row],[White Male Average Salary]],"")</f>
        <v>0.92169776547406601</v>
      </c>
      <c r="H281" s="10" t="str">
        <f>IFERROR(FemalePayGapsByOccupationalSeriesAndRacialEthnicGroup[[#This Row],[AIAN Female Employees]]/I$318,"")</f>
        <v/>
      </c>
      <c r="I281" t="s">
        <v>0</v>
      </c>
      <c r="J281" s="6" t="s">
        <v>0</v>
      </c>
      <c r="K281" s="52" t="str">
        <f>IFERROR(FemalePayGapsByOccupationalSeriesAndRacialEthnicGroup[[#This Row],[AIAN Female Avg Salary]]/FemalePayGapsByOccupationalSeriesAndRacialEthnicGroup[[#This Row],[White Male Average Salary]],"")</f>
        <v/>
      </c>
      <c r="L281" s="10" t="str">
        <f>IFERROR(FemalePayGapsByOccupationalSeriesAndRacialEthnicGroup[[#This Row],[ANHPI Female Employees]]/M$318,"")</f>
        <v/>
      </c>
      <c r="M281" s="8" t="s">
        <v>0</v>
      </c>
      <c r="N281" s="6" t="s">
        <v>0</v>
      </c>
      <c r="O281" s="52" t="str">
        <f>IFERROR(FemalePayGapsByOccupationalSeriesAndRacialEthnicGroup[[#This Row],[ANHPI Female Avg Salary]]/FemalePayGapsByOccupationalSeriesAndRacialEthnicGroup[[#This Row],[White Male Average Salary]],"")</f>
        <v/>
      </c>
      <c r="P281" s="10" t="str">
        <f>IFERROR(FemalePayGapsByOccupationalSeriesAndRacialEthnicGroup[[#This Row],[Black Female Employees]]/Q$318,"")</f>
        <v/>
      </c>
      <c r="Q281" s="8" t="s">
        <v>0</v>
      </c>
      <c r="R281" s="6" t="s">
        <v>0</v>
      </c>
      <c r="S281" s="52" t="str">
        <f>IFERROR(FemalePayGapsByOccupationalSeriesAndRacialEthnicGroup[[#This Row],[Black Female Avg Salary]]/FemalePayGapsByOccupationalSeriesAndRacialEthnicGroup[[#This Row],[White Male Average Salary]],"")</f>
        <v/>
      </c>
      <c r="T281" s="10" t="str">
        <f>IFERROR(FemalePayGapsByOccupationalSeriesAndRacialEthnicGroup[[#This Row],[Hispanic Latino Female Employees]]/U$318,"")</f>
        <v/>
      </c>
      <c r="U281" s="8" t="s">
        <v>0</v>
      </c>
      <c r="V281" s="6" t="s">
        <v>0</v>
      </c>
      <c r="W28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81" s="10" t="str">
        <f>IFERROR(FemalePayGapsByOccupationalSeriesAndRacialEthnicGroup[[#This Row],[Other Female Employees]]/Y$318,"")</f>
        <v/>
      </c>
      <c r="Y281" s="8" t="s">
        <v>0</v>
      </c>
      <c r="Z281" s="6" t="s">
        <v>0</v>
      </c>
      <c r="AA28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82" spans="1:27" ht="15.6" x14ac:dyDescent="0.3">
      <c r="A282" s="45" t="s">
        <v>290</v>
      </c>
      <c r="B282" s="38">
        <v>3185</v>
      </c>
      <c r="C282" s="39">
        <v>128293.25031407</v>
      </c>
      <c r="D282" s="69">
        <f>IFERROR(FemalePayGapsByOccupationalSeriesAndRacialEthnicGroup[[#This Row],[White Female Employees]]/E$318,"")</f>
        <v>6.7032057095540401E-4</v>
      </c>
      <c r="E282" s="67">
        <v>306</v>
      </c>
      <c r="F282" s="64">
        <v>128054.852941176</v>
      </c>
      <c r="G282" s="72">
        <f>IFERROR(FemalePayGapsByOccupationalSeriesAndRacialEthnicGroup[[#This Row],[White Female Avg Salary]]/FemalePayGapsByOccupationalSeriesAndRacialEthnicGroup[[#This Row],[White Male Average Salary]],"")</f>
        <v>0.99814177774504587</v>
      </c>
      <c r="H282" s="10" t="str">
        <f>IFERROR(FemalePayGapsByOccupationalSeriesAndRacialEthnicGroup[[#This Row],[AIAN Female Employees]]/I$318,"")</f>
        <v/>
      </c>
      <c r="I282" t="s">
        <v>0</v>
      </c>
      <c r="J282" s="6" t="s">
        <v>0</v>
      </c>
      <c r="K282" s="52" t="str">
        <f>IFERROR(FemalePayGapsByOccupationalSeriesAndRacialEthnicGroup[[#This Row],[AIAN Female Avg Salary]]/FemalePayGapsByOccupationalSeriesAndRacialEthnicGroup[[#This Row],[White Male Average Salary]],"")</f>
        <v/>
      </c>
      <c r="L282" s="10">
        <f>IFERROR(FemalePayGapsByOccupationalSeriesAndRacialEthnicGroup[[#This Row],[ANHPI Female Employees]]/M$318,"")</f>
        <v>2.3380874444704232E-4</v>
      </c>
      <c r="M282" s="8">
        <v>15</v>
      </c>
      <c r="N282" s="6">
        <v>117683.933333333</v>
      </c>
      <c r="O282" s="52">
        <f>IFERROR(FemalePayGapsByOccupationalSeriesAndRacialEthnicGroup[[#This Row],[ANHPI Female Avg Salary]]/FemalePayGapsByOccupationalSeriesAndRacialEthnicGroup[[#This Row],[White Male Average Salary]],"")</f>
        <v>0.9173041687324569</v>
      </c>
      <c r="P282" s="10">
        <f>IFERROR(FemalePayGapsByOccupationalSeriesAndRacialEthnicGroup[[#This Row],[Black Female Employees]]/Q$318,"")</f>
        <v>6.1782667585485819E-5</v>
      </c>
      <c r="Q282" s="8">
        <v>13</v>
      </c>
      <c r="R282" s="6">
        <v>136797.76923076899</v>
      </c>
      <c r="S282" s="52">
        <f>IFERROR(FemalePayGapsByOccupationalSeriesAndRacialEthnicGroup[[#This Row],[Black Female Avg Salary]]/FemalePayGapsByOccupationalSeriesAndRacialEthnicGroup[[#This Row],[White Male Average Salary]],"")</f>
        <v>1.0662896831741295</v>
      </c>
      <c r="T282" s="10">
        <f>IFERROR(FemalePayGapsByOccupationalSeriesAndRacialEthnicGroup[[#This Row],[Hispanic Latino Female Employees]]/U$318,"")</f>
        <v>2.1791239921551536E-4</v>
      </c>
      <c r="U282" s="8">
        <v>17</v>
      </c>
      <c r="V282" s="6">
        <v>127289.411764706</v>
      </c>
      <c r="W282" s="52">
        <f>IFERROR(FemalePayGapsByOccupationalSeriesAndRacialEthnicGroup[[#This Row],[Hispanic Latino Female Avg Salary]]/FemalePayGapsByOccupationalSeriesAndRacialEthnicGroup[[#This Row],[White Male Average Salary]],"")</f>
        <v>0.992175437547131</v>
      </c>
      <c r="X282" s="10" t="str">
        <f>IFERROR(FemalePayGapsByOccupationalSeriesAndRacialEthnicGroup[[#This Row],[Other Female Employees]]/Y$318,"")</f>
        <v/>
      </c>
      <c r="Y282" s="8" t="s">
        <v>0</v>
      </c>
      <c r="Z282" s="6" t="s">
        <v>0</v>
      </c>
      <c r="AA28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83" spans="1:27" ht="15.6" x14ac:dyDescent="0.3">
      <c r="A283" s="46" t="s">
        <v>291</v>
      </c>
      <c r="B283" s="40">
        <v>163</v>
      </c>
      <c r="C283" s="41">
        <v>216868.337423313</v>
      </c>
      <c r="D283" s="70">
        <f>IFERROR(FemalePayGapsByOccupationalSeriesAndRacialEthnicGroup[[#This Row],[White Female Employees]]/E$318,"")</f>
        <v>1.4457894667665576E-4</v>
      </c>
      <c r="E283" s="16">
        <v>66</v>
      </c>
      <c r="F283" s="17">
        <v>212175.681818182</v>
      </c>
      <c r="G283" s="18">
        <f>IFERROR(FemalePayGapsByOccupationalSeriesAndRacialEthnicGroup[[#This Row],[White Female Avg Salary]]/FemalePayGapsByOccupationalSeriesAndRacialEthnicGroup[[#This Row],[White Male Average Salary]],"")</f>
        <v>0.97836173015901695</v>
      </c>
      <c r="H283" s="10" t="str">
        <f>IFERROR(FemalePayGapsByOccupationalSeriesAndRacialEthnicGroup[[#This Row],[AIAN Female Employees]]/I$318,"")</f>
        <v/>
      </c>
      <c r="I283" t="s">
        <v>0</v>
      </c>
      <c r="J283" s="6" t="s">
        <v>0</v>
      </c>
      <c r="K283" s="52" t="str">
        <f>IFERROR(FemalePayGapsByOccupationalSeriesAndRacialEthnicGroup[[#This Row],[AIAN Female Avg Salary]]/FemalePayGapsByOccupationalSeriesAndRacialEthnicGroup[[#This Row],[White Male Average Salary]],"")</f>
        <v/>
      </c>
      <c r="L283" s="10" t="str">
        <f>IFERROR(FemalePayGapsByOccupationalSeriesAndRacialEthnicGroup[[#This Row],[ANHPI Female Employees]]/M$318,"")</f>
        <v/>
      </c>
      <c r="M283" s="8" t="s">
        <v>0</v>
      </c>
      <c r="N283" s="6" t="s">
        <v>0</v>
      </c>
      <c r="O283" s="52" t="str">
        <f>IFERROR(FemalePayGapsByOccupationalSeriesAndRacialEthnicGroup[[#This Row],[ANHPI Female Avg Salary]]/FemalePayGapsByOccupationalSeriesAndRacialEthnicGroup[[#This Row],[White Male Average Salary]],"")</f>
        <v/>
      </c>
      <c r="P283" s="10" t="str">
        <f>IFERROR(FemalePayGapsByOccupationalSeriesAndRacialEthnicGroup[[#This Row],[Black Female Employees]]/Q$318,"")</f>
        <v/>
      </c>
      <c r="Q283" s="8" t="s">
        <v>0</v>
      </c>
      <c r="R283" s="6" t="s">
        <v>0</v>
      </c>
      <c r="S283" s="52" t="str">
        <f>IFERROR(FemalePayGapsByOccupationalSeriesAndRacialEthnicGroup[[#This Row],[Black Female Avg Salary]]/FemalePayGapsByOccupationalSeriesAndRacialEthnicGroup[[#This Row],[White Male Average Salary]],"")</f>
        <v/>
      </c>
      <c r="T283" s="10" t="str">
        <f>IFERROR(FemalePayGapsByOccupationalSeriesAndRacialEthnicGroup[[#This Row],[Hispanic Latino Female Employees]]/U$318,"")</f>
        <v/>
      </c>
      <c r="U283" s="8" t="s">
        <v>0</v>
      </c>
      <c r="V283" s="47" t="s">
        <v>0</v>
      </c>
      <c r="W283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83" s="10" t="str">
        <f>IFERROR(FemalePayGapsByOccupationalSeriesAndRacialEthnicGroup[[#This Row],[Other Female Employees]]/Y$318,"")</f>
        <v/>
      </c>
      <c r="Y283" s="8" t="s">
        <v>0</v>
      </c>
      <c r="Z283" s="6" t="s">
        <v>0</v>
      </c>
      <c r="AA28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84" spans="1:27" ht="15.6" x14ac:dyDescent="0.3">
      <c r="A284" s="45" t="s">
        <v>292</v>
      </c>
      <c r="B284" s="38">
        <v>253</v>
      </c>
      <c r="C284" s="39">
        <v>99813.015810276993</v>
      </c>
      <c r="D284" s="69">
        <f>IFERROR(FemalePayGapsByOccupationalSeriesAndRacialEthnicGroup[[#This Row],[White Female Employees]]/E$318,"")</f>
        <v>4.2278388952416004E-4</v>
      </c>
      <c r="E284" s="67">
        <v>193</v>
      </c>
      <c r="F284" s="64">
        <v>102037.26943005199</v>
      </c>
      <c r="G284" s="72">
        <f>IFERROR(FemalePayGapsByOccupationalSeriesAndRacialEthnicGroup[[#This Row],[White Female Avg Salary]]/FemalePayGapsByOccupationalSeriesAndRacialEthnicGroup[[#This Row],[White Male Average Salary]],"")</f>
        <v>1.0222842041362905</v>
      </c>
      <c r="H284" s="10" t="str">
        <f>IFERROR(FemalePayGapsByOccupationalSeriesAndRacialEthnicGroup[[#This Row],[AIAN Female Employees]]/I$318,"")</f>
        <v/>
      </c>
      <c r="I284" t="s">
        <v>0</v>
      </c>
      <c r="J284" s="6" t="s">
        <v>0</v>
      </c>
      <c r="K284" s="52" t="str">
        <f>IFERROR(FemalePayGapsByOccupationalSeriesAndRacialEthnicGroup[[#This Row],[AIAN Female Avg Salary]]/FemalePayGapsByOccupationalSeriesAndRacialEthnicGroup[[#This Row],[White Male Average Salary]],"")</f>
        <v/>
      </c>
      <c r="L284" s="10" t="str">
        <f>IFERROR(FemalePayGapsByOccupationalSeriesAndRacialEthnicGroup[[#This Row],[ANHPI Female Employees]]/M$318,"")</f>
        <v/>
      </c>
      <c r="M284" s="8" t="s">
        <v>0</v>
      </c>
      <c r="N284" s="6" t="s">
        <v>0</v>
      </c>
      <c r="O284" s="52" t="str">
        <f>IFERROR(FemalePayGapsByOccupationalSeriesAndRacialEthnicGroup[[#This Row],[ANHPI Female Avg Salary]]/FemalePayGapsByOccupationalSeriesAndRacialEthnicGroup[[#This Row],[White Male Average Salary]],"")</f>
        <v/>
      </c>
      <c r="P284" s="10">
        <f>IFERROR(FemalePayGapsByOccupationalSeriesAndRacialEthnicGroup[[#This Row],[Black Female Employees]]/Q$318,"")</f>
        <v>4.7525128911912176E-4</v>
      </c>
      <c r="Q284" s="8">
        <v>100</v>
      </c>
      <c r="R284" s="6">
        <v>97961.61</v>
      </c>
      <c r="S284" s="52">
        <f>IFERROR(FemalePayGapsByOccupationalSeriesAndRacialEthnicGroup[[#This Row],[Black Female Avg Salary]]/FemalePayGapsByOccupationalSeriesAndRacialEthnicGroup[[#This Row],[White Male Average Salary]],"")</f>
        <v>0.98145125868357574</v>
      </c>
      <c r="T284" s="10">
        <f>IFERROR(FemalePayGapsByOccupationalSeriesAndRacialEthnicGroup[[#This Row],[Hispanic Latino Female Employees]]/U$318,"")</f>
        <v>2.3457628856729008E-3</v>
      </c>
      <c r="U284" s="8">
        <v>183</v>
      </c>
      <c r="V284" s="6">
        <v>96594.896174862995</v>
      </c>
      <c r="W284" s="52">
        <f>IFERROR(FemalePayGapsByOccupationalSeriesAndRacialEthnicGroup[[#This Row],[Hispanic Latino Female Avg Salary]]/FemalePayGapsByOccupationalSeriesAndRacialEthnicGroup[[#This Row],[White Male Average Salary]],"")</f>
        <v>0.96775851717043648</v>
      </c>
      <c r="X284" s="10" t="str">
        <f>IFERROR(FemalePayGapsByOccupationalSeriesAndRacialEthnicGroup[[#This Row],[Other Female Employees]]/Y$318,"")</f>
        <v/>
      </c>
      <c r="Y284" s="8" t="s">
        <v>0</v>
      </c>
      <c r="Z284" s="6" t="s">
        <v>0</v>
      </c>
      <c r="AA28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85" spans="1:27" ht="15.6" x14ac:dyDescent="0.3">
      <c r="A285" s="46" t="s">
        <v>293</v>
      </c>
      <c r="B285" s="40">
        <v>130</v>
      </c>
      <c r="C285" s="41">
        <v>94689.084615385</v>
      </c>
      <c r="D285" s="70">
        <f>IFERROR(FemalePayGapsByOccupationalSeriesAndRacialEthnicGroup[[#This Row],[White Female Employees]]/E$318,"")</f>
        <v>3.6144736669163938E-4</v>
      </c>
      <c r="E285" s="16">
        <v>165</v>
      </c>
      <c r="F285" s="17">
        <v>96371.781818182004</v>
      </c>
      <c r="G285" s="18">
        <f>IFERROR(FemalePayGapsByOccupationalSeriesAndRacialEthnicGroup[[#This Row],[White Female Avg Salary]]/FemalePayGapsByOccupationalSeriesAndRacialEthnicGroup[[#This Row],[White Male Average Salary]],"")</f>
        <v>1.0177707621700209</v>
      </c>
      <c r="H285" s="10" t="str">
        <f>IFERROR(FemalePayGapsByOccupationalSeriesAndRacialEthnicGroup[[#This Row],[AIAN Female Employees]]/I$318,"")</f>
        <v/>
      </c>
      <c r="I285" t="s">
        <v>0</v>
      </c>
      <c r="J285" s="6" t="s">
        <v>0</v>
      </c>
      <c r="K285" s="52" t="str">
        <f>IFERROR(FemalePayGapsByOccupationalSeriesAndRacialEthnicGroup[[#This Row],[AIAN Female Avg Salary]]/FemalePayGapsByOccupationalSeriesAndRacialEthnicGroup[[#This Row],[White Male Average Salary]],"")</f>
        <v/>
      </c>
      <c r="L285" s="10" t="str">
        <f>IFERROR(FemalePayGapsByOccupationalSeriesAndRacialEthnicGroup[[#This Row],[ANHPI Female Employees]]/M$318,"")</f>
        <v/>
      </c>
      <c r="M285" s="8" t="s">
        <v>0</v>
      </c>
      <c r="N285" s="6" t="s">
        <v>0</v>
      </c>
      <c r="O285" s="52" t="str">
        <f>IFERROR(FemalePayGapsByOccupationalSeriesAndRacialEthnicGroup[[#This Row],[ANHPI Female Avg Salary]]/FemalePayGapsByOccupationalSeriesAndRacialEthnicGroup[[#This Row],[White Male Average Salary]],"")</f>
        <v/>
      </c>
      <c r="P285" s="10">
        <f>IFERROR(FemalePayGapsByOccupationalSeriesAndRacialEthnicGroup[[#This Row],[Black Female Employees]]/Q$318,"")</f>
        <v>8.6020483330561033E-4</v>
      </c>
      <c r="Q285" s="8">
        <v>181</v>
      </c>
      <c r="R285" s="6">
        <v>97260.060773481004</v>
      </c>
      <c r="S285" s="52">
        <f>IFERROR(FemalePayGapsByOccupationalSeriesAndRacialEthnicGroup[[#This Row],[Black Female Avg Salary]]/FemalePayGapsByOccupationalSeriesAndRacialEthnicGroup[[#This Row],[White Male Average Salary]],"")</f>
        <v>1.027151769061228</v>
      </c>
      <c r="T285" s="10">
        <f>IFERROR(FemalePayGapsByOccupationalSeriesAndRacialEthnicGroup[[#This Row],[Hispanic Latino Female Employees]]/U$318,"")</f>
        <v>1.2305641367464397E-3</v>
      </c>
      <c r="U285" s="8">
        <v>96</v>
      </c>
      <c r="V285" s="6">
        <v>96839.5</v>
      </c>
      <c r="W285" s="52">
        <f>IFERROR(FemalePayGapsByOccupationalSeriesAndRacialEthnicGroup[[#This Row],[Hispanic Latino Female Avg Salary]]/FemalePayGapsByOccupationalSeriesAndRacialEthnicGroup[[#This Row],[White Male Average Salary]],"")</f>
        <v>1.0227102774659795</v>
      </c>
      <c r="X285" s="10" t="str">
        <f>IFERROR(FemalePayGapsByOccupationalSeriesAndRacialEthnicGroup[[#This Row],[Other Female Employees]]/Y$318,"")</f>
        <v/>
      </c>
      <c r="Y285" s="8" t="s">
        <v>0</v>
      </c>
      <c r="Z285" s="6" t="s">
        <v>0</v>
      </c>
      <c r="AA28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86" spans="1:27" ht="15.6" x14ac:dyDescent="0.3">
      <c r="A286" s="45" t="s">
        <v>294</v>
      </c>
      <c r="B286" s="38">
        <v>1774</v>
      </c>
      <c r="C286" s="39">
        <v>66312.222724702995</v>
      </c>
      <c r="D286" s="69">
        <f>IFERROR(FemalePayGapsByOccupationalSeriesAndRacialEthnicGroup[[#This Row],[White Female Employees]]/E$318,"")</f>
        <v>2.0722982356987324E-3</v>
      </c>
      <c r="E286" s="67">
        <v>946</v>
      </c>
      <c r="F286" s="64">
        <v>63933.905520170003</v>
      </c>
      <c r="G286" s="72">
        <f>IFERROR(FemalePayGapsByOccupationalSeriesAndRacialEthnicGroup[[#This Row],[White Female Avg Salary]]/FemalePayGapsByOccupationalSeriesAndRacialEthnicGroup[[#This Row],[White Male Average Salary]],"")</f>
        <v>0.96413455760023847</v>
      </c>
      <c r="H286" s="10" t="str">
        <f>IFERROR(FemalePayGapsByOccupationalSeriesAndRacialEthnicGroup[[#This Row],[AIAN Female Employees]]/I$318,"")</f>
        <v/>
      </c>
      <c r="I286" t="s">
        <v>0</v>
      </c>
      <c r="J286" s="6" t="s">
        <v>0</v>
      </c>
      <c r="K286" s="52" t="str">
        <f>IFERROR(FemalePayGapsByOccupationalSeriesAndRacialEthnicGroup[[#This Row],[AIAN Female Avg Salary]]/FemalePayGapsByOccupationalSeriesAndRacialEthnicGroup[[#This Row],[White Male Average Salary]],"")</f>
        <v/>
      </c>
      <c r="L286" s="10">
        <f>IFERROR(FemalePayGapsByOccupationalSeriesAndRacialEthnicGroup[[#This Row],[ANHPI Female Employees]]/M$318,"")</f>
        <v>1.137869222975606E-3</v>
      </c>
      <c r="M286" s="8">
        <v>73</v>
      </c>
      <c r="N286" s="6">
        <v>63605.205479452001</v>
      </c>
      <c r="O286" s="52">
        <f>IFERROR(FemalePayGapsByOccupationalSeriesAndRacialEthnicGroup[[#This Row],[ANHPI Female Avg Salary]]/FemalePayGapsByOccupationalSeriesAndRacialEthnicGroup[[#This Row],[White Male Average Salary]],"")</f>
        <v>0.95917770308364947</v>
      </c>
      <c r="P286" s="10">
        <f>IFERROR(FemalePayGapsByOccupationalSeriesAndRacialEthnicGroup[[#This Row],[Black Female Employees]]/Q$318,"")</f>
        <v>3.5501271297198392E-3</v>
      </c>
      <c r="Q286" s="8">
        <v>747</v>
      </c>
      <c r="R286" s="6">
        <v>63800.313253011998</v>
      </c>
      <c r="S286" s="52">
        <f>IFERROR(FemalePayGapsByOccupationalSeriesAndRacialEthnicGroup[[#This Row],[Black Female Avg Salary]]/FemalePayGapsByOccupationalSeriesAndRacialEthnicGroup[[#This Row],[White Male Average Salary]],"")</f>
        <v>0.96211996267838495</v>
      </c>
      <c r="T286" s="10">
        <f>IFERROR(FemalePayGapsByOccupationalSeriesAndRacialEthnicGroup[[#This Row],[Hispanic Latino Female Employees]]/U$318,"")</f>
        <v>3.4865983874482458E-3</v>
      </c>
      <c r="U286" s="8">
        <v>272</v>
      </c>
      <c r="V286" s="6">
        <v>61372.690298506997</v>
      </c>
      <c r="W286" s="52">
        <f>IFERROR(FemalePayGapsByOccupationalSeriesAndRacialEthnicGroup[[#This Row],[Hispanic Latino Female Avg Salary]]/FemalePayGapsByOccupationalSeriesAndRacialEthnicGroup[[#This Row],[White Male Average Salary]],"")</f>
        <v>0.92551098088353034</v>
      </c>
      <c r="X286" s="10" t="str">
        <f>IFERROR(FemalePayGapsByOccupationalSeriesAndRacialEthnicGroup[[#This Row],[Other Female Employees]]/Y$318,"")</f>
        <v/>
      </c>
      <c r="Y286" s="8" t="s">
        <v>0</v>
      </c>
      <c r="Z286" s="6" t="s">
        <v>0</v>
      </c>
      <c r="AA28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87" spans="1:27" ht="15.6" x14ac:dyDescent="0.3">
      <c r="A287" s="46" t="s">
        <v>295</v>
      </c>
      <c r="B287" s="40">
        <v>347</v>
      </c>
      <c r="C287" s="41">
        <v>50256.729106628001</v>
      </c>
      <c r="D287" s="70">
        <f>IFERROR(FemalePayGapsByOccupationalSeriesAndRacialEthnicGroup[[#This Row],[White Female Employees]]/E$318,"")</f>
        <v>5.6298165599849288E-4</v>
      </c>
      <c r="E287" s="16">
        <v>257</v>
      </c>
      <c r="F287" s="17">
        <v>48803.435797664999</v>
      </c>
      <c r="G287" s="18">
        <f>IFERROR(FemalePayGapsByOccupationalSeriesAndRacialEthnicGroup[[#This Row],[White Female Avg Salary]]/FemalePayGapsByOccupationalSeriesAndRacialEthnicGroup[[#This Row],[White Male Average Salary]],"")</f>
        <v>0.97108261252180583</v>
      </c>
      <c r="H287" s="10" t="str">
        <f>IFERROR(FemalePayGapsByOccupationalSeriesAndRacialEthnicGroup[[#This Row],[AIAN Female Employees]]/I$318,"")</f>
        <v/>
      </c>
      <c r="I287" t="s">
        <v>0</v>
      </c>
      <c r="J287" s="6" t="s">
        <v>0</v>
      </c>
      <c r="K287" s="52" t="str">
        <f>IFERROR(FemalePayGapsByOccupationalSeriesAndRacialEthnicGroup[[#This Row],[AIAN Female Avg Salary]]/FemalePayGapsByOccupationalSeriesAndRacialEthnicGroup[[#This Row],[White Male Average Salary]],"")</f>
        <v/>
      </c>
      <c r="L287" s="10" t="str">
        <f>IFERROR(FemalePayGapsByOccupationalSeriesAndRacialEthnicGroup[[#This Row],[ANHPI Female Employees]]/M$318,"")</f>
        <v/>
      </c>
      <c r="M287" s="8" t="s">
        <v>0</v>
      </c>
      <c r="N287" s="6" t="s">
        <v>0</v>
      </c>
      <c r="O287" s="52" t="str">
        <f>IFERROR(FemalePayGapsByOccupationalSeriesAndRacialEthnicGroup[[#This Row],[ANHPI Female Avg Salary]]/FemalePayGapsByOccupationalSeriesAndRacialEthnicGroup[[#This Row],[White Male Average Salary]],"")</f>
        <v/>
      </c>
      <c r="P287" s="10">
        <f>IFERROR(FemalePayGapsByOccupationalSeriesAndRacialEthnicGroup[[#This Row],[Black Female Employees]]/Q$318,"")</f>
        <v>1.1501081196682746E-3</v>
      </c>
      <c r="Q287" s="8">
        <v>242</v>
      </c>
      <c r="R287" s="6">
        <v>51310.995867769001</v>
      </c>
      <c r="S287" s="52">
        <f>IFERROR(FemalePayGapsByOccupationalSeriesAndRacialEthnicGroup[[#This Row],[Black Female Avg Salary]]/FemalePayGapsByOccupationalSeriesAndRacialEthnicGroup[[#This Row],[White Male Average Salary]],"")</f>
        <v>1.0209776238900108</v>
      </c>
      <c r="T287" s="10">
        <f>IFERROR(FemalePayGapsByOccupationalSeriesAndRacialEthnicGroup[[#This Row],[Hispanic Latino Female Employees]]/U$318,"")</f>
        <v>2.1278504864573854E-3</v>
      </c>
      <c r="U287" s="8">
        <v>166</v>
      </c>
      <c r="V287" s="6">
        <v>49378.277108433998</v>
      </c>
      <c r="W287" s="52">
        <f>IFERROR(FemalePayGapsByOccupationalSeriesAndRacialEthnicGroup[[#This Row],[Hispanic Latino Female Avg Salary]]/FemalePayGapsByOccupationalSeriesAndRacialEthnicGroup[[#This Row],[White Male Average Salary]],"")</f>
        <v>0.98252070889193321</v>
      </c>
      <c r="X287" s="10" t="str">
        <f>IFERROR(FemalePayGapsByOccupationalSeriesAndRacialEthnicGroup[[#This Row],[Other Female Employees]]/Y$318,"")</f>
        <v/>
      </c>
      <c r="Y287" s="8" t="s">
        <v>0</v>
      </c>
      <c r="Z287" s="6" t="s">
        <v>0</v>
      </c>
      <c r="AA28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88" spans="1:27" ht="31.2" x14ac:dyDescent="0.3">
      <c r="A288" s="45" t="s">
        <v>296</v>
      </c>
      <c r="B288" s="38">
        <v>441</v>
      </c>
      <c r="C288" s="39">
        <v>129535.723356009</v>
      </c>
      <c r="D288" s="69">
        <f>IFERROR(FemalePayGapsByOccupationalSeriesAndRacialEthnicGroup[[#This Row],[White Female Employees]]/E$318,"")</f>
        <v>3.2858851517421762E-5</v>
      </c>
      <c r="E288" s="67">
        <v>15</v>
      </c>
      <c r="F288" s="64">
        <v>115460.933333333</v>
      </c>
      <c r="G288" s="72">
        <f>IFERROR(FemalePayGapsByOccupationalSeriesAndRacialEthnicGroup[[#This Row],[White Female Avg Salary]]/FemalePayGapsByOccupationalSeriesAndRacialEthnicGroup[[#This Row],[White Male Average Salary]],"")</f>
        <v>0.89134433607944885</v>
      </c>
      <c r="H288" s="10" t="str">
        <f>IFERROR(FemalePayGapsByOccupationalSeriesAndRacialEthnicGroup[[#This Row],[AIAN Female Employees]]/I$318,"")</f>
        <v/>
      </c>
      <c r="I288" t="s">
        <v>0</v>
      </c>
      <c r="J288" s="6" t="s">
        <v>0</v>
      </c>
      <c r="K288" s="52" t="str">
        <f>IFERROR(FemalePayGapsByOccupationalSeriesAndRacialEthnicGroup[[#This Row],[AIAN Female Avg Salary]]/FemalePayGapsByOccupationalSeriesAndRacialEthnicGroup[[#This Row],[White Male Average Salary]],"")</f>
        <v/>
      </c>
      <c r="L288" s="10" t="str">
        <f>IFERROR(FemalePayGapsByOccupationalSeriesAndRacialEthnicGroup[[#This Row],[ANHPI Female Employees]]/M$318,"")</f>
        <v/>
      </c>
      <c r="M288" s="8" t="s">
        <v>0</v>
      </c>
      <c r="N288" s="6" t="s">
        <v>0</v>
      </c>
      <c r="O288" s="52" t="str">
        <f>IFERROR(FemalePayGapsByOccupationalSeriesAndRacialEthnicGroup[[#This Row],[ANHPI Female Avg Salary]]/FemalePayGapsByOccupationalSeriesAndRacialEthnicGroup[[#This Row],[White Male Average Salary]],"")</f>
        <v/>
      </c>
      <c r="P288" s="10" t="str">
        <f>IFERROR(FemalePayGapsByOccupationalSeriesAndRacialEthnicGroup[[#This Row],[Black Female Employees]]/Q$318,"")</f>
        <v/>
      </c>
      <c r="Q288" s="8" t="s">
        <v>0</v>
      </c>
      <c r="R288" s="6" t="s">
        <v>0</v>
      </c>
      <c r="S288" s="52" t="str">
        <f>IFERROR(FemalePayGapsByOccupationalSeriesAndRacialEthnicGroup[[#This Row],[Black Female Avg Salary]]/FemalePayGapsByOccupationalSeriesAndRacialEthnicGroup[[#This Row],[White Male Average Salary]],"")</f>
        <v/>
      </c>
      <c r="T288" s="10" t="str">
        <f>IFERROR(FemalePayGapsByOccupationalSeriesAndRacialEthnicGroup[[#This Row],[Hispanic Latino Female Employees]]/U$318,"")</f>
        <v/>
      </c>
      <c r="U288" s="8" t="s">
        <v>0</v>
      </c>
      <c r="V288" s="6" t="s">
        <v>0</v>
      </c>
      <c r="W28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88" s="10" t="str">
        <f>IFERROR(FemalePayGapsByOccupationalSeriesAndRacialEthnicGroup[[#This Row],[Other Female Employees]]/Y$318,"")</f>
        <v/>
      </c>
      <c r="Y288" s="8" t="s">
        <v>0</v>
      </c>
      <c r="Z288" s="6" t="s">
        <v>0</v>
      </c>
      <c r="AA28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89" spans="1:27" ht="15.6" x14ac:dyDescent="0.3">
      <c r="A289" s="46" t="s">
        <v>297</v>
      </c>
      <c r="B289" s="40">
        <v>290</v>
      </c>
      <c r="C289" s="41">
        <v>98795.562068965999</v>
      </c>
      <c r="D289" s="70">
        <f>IFERROR(FemalePayGapsByOccupationalSeriesAndRacialEthnicGroup[[#This Row],[White Female Employees]]/E$318,"")</f>
        <v>6.9222647196701852E-4</v>
      </c>
      <c r="E289" s="16">
        <v>316</v>
      </c>
      <c r="F289" s="17">
        <v>102027.287974684</v>
      </c>
      <c r="G289" s="18">
        <f>IFERROR(FemalePayGapsByOccupationalSeriesAndRacialEthnicGroup[[#This Row],[White Female Avg Salary]]/FemalePayGapsByOccupationalSeriesAndRacialEthnicGroup[[#This Row],[White Male Average Salary]],"")</f>
        <v>1.0327112457082035</v>
      </c>
      <c r="H289" s="10" t="str">
        <f>IFERROR(FemalePayGapsByOccupationalSeriesAndRacialEthnicGroup[[#This Row],[AIAN Female Employees]]/I$318,"")</f>
        <v/>
      </c>
      <c r="I289" t="s">
        <v>0</v>
      </c>
      <c r="J289" s="6" t="s">
        <v>0</v>
      </c>
      <c r="K289" s="52" t="str">
        <f>IFERROR(FemalePayGapsByOccupationalSeriesAndRacialEthnicGroup[[#This Row],[AIAN Female Avg Salary]]/FemalePayGapsByOccupationalSeriesAndRacialEthnicGroup[[#This Row],[White Male Average Salary]],"")</f>
        <v/>
      </c>
      <c r="L289" s="10" t="str">
        <f>IFERROR(FemalePayGapsByOccupationalSeriesAndRacialEthnicGroup[[#This Row],[ANHPI Female Employees]]/M$318,"")</f>
        <v/>
      </c>
      <c r="M289" s="8" t="s">
        <v>0</v>
      </c>
      <c r="N289" s="6" t="s">
        <v>0</v>
      </c>
      <c r="O289" s="52" t="str">
        <f>IFERROR(FemalePayGapsByOccupationalSeriesAndRacialEthnicGroup[[#This Row],[ANHPI Female Avg Salary]]/FemalePayGapsByOccupationalSeriesAndRacialEthnicGroup[[#This Row],[White Male Average Salary]],"")</f>
        <v/>
      </c>
      <c r="P289" s="10">
        <f>IFERROR(FemalePayGapsByOccupationalSeriesAndRacialEthnicGroup[[#This Row],[Black Female Employees]]/Q$318,"")</f>
        <v>4.1346862153363593E-4</v>
      </c>
      <c r="Q289" s="8">
        <v>87</v>
      </c>
      <c r="R289" s="6">
        <v>100935.49425287401</v>
      </c>
      <c r="S289" s="52">
        <f>IFERROR(FemalePayGapsByOccupationalSeriesAndRacialEthnicGroup[[#This Row],[Black Female Avg Salary]]/FemalePayGapsByOccupationalSeriesAndRacialEthnicGroup[[#This Row],[White Male Average Salary]],"")</f>
        <v>1.0216602055709161</v>
      </c>
      <c r="T289" s="10">
        <f>IFERROR(FemalePayGapsByOccupationalSeriesAndRacialEthnicGroup[[#This Row],[Hispanic Latino Female Employees]]/U$318,"")</f>
        <v>1.4100214066886288E-3</v>
      </c>
      <c r="U289" s="8">
        <v>110</v>
      </c>
      <c r="V289" s="6">
        <v>100936.336363636</v>
      </c>
      <c r="W289" s="52">
        <f>IFERROR(FemalePayGapsByOccupationalSeriesAndRacialEthnicGroup[[#This Row],[Hispanic Latino Female Avg Salary]]/FemalePayGapsByOccupationalSeriesAndRacialEthnicGroup[[#This Row],[White Male Average Salary]],"")</f>
        <v>1.021668729342069</v>
      </c>
      <c r="X289" s="10" t="str">
        <f>IFERROR(FemalePayGapsByOccupationalSeriesAndRacialEthnicGroup[[#This Row],[Other Female Employees]]/Y$318,"")</f>
        <v/>
      </c>
      <c r="Y289" s="8" t="s">
        <v>0</v>
      </c>
      <c r="Z289" s="6" t="s">
        <v>0</v>
      </c>
      <c r="AA28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90" spans="1:27" ht="15.6" x14ac:dyDescent="0.3">
      <c r="A290" s="45" t="s">
        <v>298</v>
      </c>
      <c r="B290" s="38">
        <v>96</v>
      </c>
      <c r="C290" s="39">
        <v>91378.864583332994</v>
      </c>
      <c r="D290" s="69">
        <f>IFERROR(FemalePayGapsByOccupationalSeriesAndRacialEthnicGroup[[#This Row],[White Female Employees]]/E$318,"")</f>
        <v>2.1467782991382219E-4</v>
      </c>
      <c r="E290" s="67">
        <v>98</v>
      </c>
      <c r="F290" s="64">
        <v>96450.969387755002</v>
      </c>
      <c r="G290" s="72">
        <f>IFERROR(FemalePayGapsByOccupationalSeriesAndRacialEthnicGroup[[#This Row],[White Female Avg Salary]]/FemalePayGapsByOccupationalSeriesAndRacialEthnicGroup[[#This Row],[White Male Average Salary]],"")</f>
        <v>1.0555063233445683</v>
      </c>
      <c r="H290" s="10" t="str">
        <f>IFERROR(FemalePayGapsByOccupationalSeriesAndRacialEthnicGroup[[#This Row],[AIAN Female Employees]]/I$318,"")</f>
        <v/>
      </c>
      <c r="I290" t="s">
        <v>0</v>
      </c>
      <c r="J290" s="6" t="s">
        <v>0</v>
      </c>
      <c r="K290" s="52" t="str">
        <f>IFERROR(FemalePayGapsByOccupationalSeriesAndRacialEthnicGroup[[#This Row],[AIAN Female Avg Salary]]/FemalePayGapsByOccupationalSeriesAndRacialEthnicGroup[[#This Row],[White Male Average Salary]],"")</f>
        <v/>
      </c>
      <c r="L290" s="10" t="str">
        <f>IFERROR(FemalePayGapsByOccupationalSeriesAndRacialEthnicGroup[[#This Row],[ANHPI Female Employees]]/M$318,"")</f>
        <v/>
      </c>
      <c r="M290" s="8" t="s">
        <v>0</v>
      </c>
      <c r="N290" s="6" t="s">
        <v>0</v>
      </c>
      <c r="O290" s="52" t="str">
        <f>IFERROR(FemalePayGapsByOccupationalSeriesAndRacialEthnicGroup[[#This Row],[ANHPI Female Avg Salary]]/FemalePayGapsByOccupationalSeriesAndRacialEthnicGroup[[#This Row],[White Male Average Salary]],"")</f>
        <v/>
      </c>
      <c r="P290" s="10">
        <f>IFERROR(FemalePayGapsByOccupationalSeriesAndRacialEthnicGroup[[#This Row],[Black Female Employees]]/Q$318,"")</f>
        <v>4.1346862153363593E-4</v>
      </c>
      <c r="Q290" s="8">
        <v>87</v>
      </c>
      <c r="R290" s="6">
        <v>99776.080459770004</v>
      </c>
      <c r="S290" s="52">
        <f>IFERROR(FemalePayGapsByOccupationalSeriesAndRacialEthnicGroup[[#This Row],[Black Female Avg Salary]]/FemalePayGapsByOccupationalSeriesAndRacialEthnicGroup[[#This Row],[White Male Average Salary]],"")</f>
        <v>1.0918945088093008</v>
      </c>
      <c r="T290" s="10" t="str">
        <f>IFERROR(FemalePayGapsByOccupationalSeriesAndRacialEthnicGroup[[#This Row],[Hispanic Latino Female Employees]]/U$318,"")</f>
        <v/>
      </c>
      <c r="U290" s="8" t="s">
        <v>0</v>
      </c>
      <c r="V290" s="6" t="s">
        <v>0</v>
      </c>
      <c r="W29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90" s="10" t="str">
        <f>IFERROR(FemalePayGapsByOccupationalSeriesAndRacialEthnicGroup[[#This Row],[Other Female Employees]]/Y$318,"")</f>
        <v/>
      </c>
      <c r="Y290" s="8" t="s">
        <v>0</v>
      </c>
      <c r="Z290" s="6" t="s">
        <v>0</v>
      </c>
      <c r="AA29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91" spans="1:27" ht="15.6" x14ac:dyDescent="0.3">
      <c r="A291" s="46" t="s">
        <v>299</v>
      </c>
      <c r="B291" s="40">
        <v>10755</v>
      </c>
      <c r="C291" s="41">
        <v>98799.268898187001</v>
      </c>
      <c r="D291" s="70">
        <f>IFERROR(FemalePayGapsByOccupationalSeriesAndRacialEthnicGroup[[#This Row],[White Female Employees]]/E$318,"")</f>
        <v>4.9529242187260408E-3</v>
      </c>
      <c r="E291" s="16">
        <v>2261</v>
      </c>
      <c r="F291" s="17">
        <v>94918.702212389006</v>
      </c>
      <c r="G291" s="18">
        <f>IFERROR(FemalePayGapsByOccupationalSeriesAndRacialEthnicGroup[[#This Row],[White Female Avg Salary]]/FemalePayGapsByOccupationalSeriesAndRacialEthnicGroup[[#This Row],[White Male Average Salary]],"")</f>
        <v>0.96072271860840452</v>
      </c>
      <c r="H291" s="10">
        <f>IFERROR(FemalePayGapsByOccupationalSeriesAndRacialEthnicGroup[[#This Row],[AIAN Female Employees]]/I$318,"")</f>
        <v>1.276595744680851E-3</v>
      </c>
      <c r="I291">
        <v>21</v>
      </c>
      <c r="J291" s="6">
        <v>96604.047619047997</v>
      </c>
      <c r="K291" s="52">
        <f>IFERROR(FemalePayGapsByOccupationalSeriesAndRacialEthnicGroup[[#This Row],[AIAN Female Avg Salary]]/FemalePayGapsByOccupationalSeriesAndRacialEthnicGroup[[#This Row],[White Male Average Salary]],"")</f>
        <v>0.97778099672578356</v>
      </c>
      <c r="L291" s="10">
        <f>IFERROR(FemalePayGapsByOccupationalSeriesAndRacialEthnicGroup[[#This Row],[ANHPI Female Employees]]/M$318,"")</f>
        <v>4.4579533941236068E-3</v>
      </c>
      <c r="M291" s="8">
        <v>286</v>
      </c>
      <c r="N291" s="6">
        <v>101519.562937063</v>
      </c>
      <c r="O291" s="52">
        <f>IFERROR(FemalePayGapsByOccupationalSeriesAndRacialEthnicGroup[[#This Row],[ANHPI Female Avg Salary]]/FemalePayGapsByOccupationalSeriesAndRacialEthnicGroup[[#This Row],[White Male Average Salary]],"")</f>
        <v>1.0275335442176123</v>
      </c>
      <c r="P291" s="10">
        <f>IFERROR(FemalePayGapsByOccupationalSeriesAndRacialEthnicGroup[[#This Row],[Black Female Employees]]/Q$318,"")</f>
        <v>2.8515077347147305E-3</v>
      </c>
      <c r="Q291" s="8">
        <v>600</v>
      </c>
      <c r="R291" s="6">
        <v>98068.524999999994</v>
      </c>
      <c r="S291" s="52">
        <f>IFERROR(FemalePayGapsByOccupationalSeriesAndRacialEthnicGroup[[#This Row],[Black Female Avg Salary]]/FemalePayGapsByOccupationalSeriesAndRacialEthnicGroup[[#This Row],[White Male Average Salary]],"")</f>
        <v>0.99260375196763817</v>
      </c>
      <c r="T291" s="10">
        <f>IFERROR(FemalePayGapsByOccupationalSeriesAndRacialEthnicGroup[[#This Row],[Hispanic Latino Female Employees]]/U$318,"")</f>
        <v>2.2624434389140271E-2</v>
      </c>
      <c r="U291" s="8">
        <v>1765</v>
      </c>
      <c r="V291" s="6">
        <v>94387.424036280994</v>
      </c>
      <c r="W291" s="52">
        <f>IFERROR(FemalePayGapsByOccupationalSeriesAndRacialEthnicGroup[[#This Row],[Hispanic Latino Female Avg Salary]]/FemalePayGapsByOccupationalSeriesAndRacialEthnicGroup[[#This Row],[White Male Average Salary]],"")</f>
        <v>0.95534536934223235</v>
      </c>
      <c r="X291" s="10">
        <f>IFERROR(FemalePayGapsByOccupationalSeriesAndRacialEthnicGroup[[#This Row],[Other Female Employees]]/Y$318,"")</f>
        <v>7.235317393024702E-3</v>
      </c>
      <c r="Y291" s="8">
        <v>128</v>
      </c>
      <c r="Z291" s="6">
        <v>98571.3359375</v>
      </c>
      <c r="AA291" s="1">
        <f>IFERROR(FemalePayGapsByOccupationalSeriesAndRacialEthnicGroup[[#This Row],[Other Female Avg Salary]]/FemalePayGapsByOccupationalSeriesAndRacialEthnicGroup[[#This Row],[White Male Average Salary]],"")</f>
        <v>0.99769296915626082</v>
      </c>
    </row>
    <row r="292" spans="1:27" ht="15.6" x14ac:dyDescent="0.3">
      <c r="A292" s="45" t="s">
        <v>300</v>
      </c>
      <c r="B292" s="38">
        <v>8816</v>
      </c>
      <c r="C292" s="39">
        <v>92840.065222322999</v>
      </c>
      <c r="D292" s="69">
        <f>IFERROR(FemalePayGapsByOccupationalSeriesAndRacialEthnicGroup[[#This Row],[White Female Employees]]/E$318,"")</f>
        <v>1.2201586863469281E-3</v>
      </c>
      <c r="E292" s="67">
        <v>557</v>
      </c>
      <c r="F292" s="64">
        <v>84838.493716337995</v>
      </c>
      <c r="G292" s="72">
        <f>IFERROR(FemalePayGapsByOccupationalSeriesAndRacialEthnicGroup[[#This Row],[White Female Avg Salary]]/FemalePayGapsByOccupationalSeriesAndRacialEthnicGroup[[#This Row],[White Male Average Salary]],"")</f>
        <v>0.91381337909636606</v>
      </c>
      <c r="H292" s="10" t="str">
        <f>IFERROR(FemalePayGapsByOccupationalSeriesAndRacialEthnicGroup[[#This Row],[AIAN Female Employees]]/I$318,"")</f>
        <v/>
      </c>
      <c r="I292" t="s">
        <v>0</v>
      </c>
      <c r="J292" s="6" t="s">
        <v>0</v>
      </c>
      <c r="K292" s="52" t="str">
        <f>IFERROR(FemalePayGapsByOccupationalSeriesAndRacialEthnicGroup[[#This Row],[AIAN Female Avg Salary]]/FemalePayGapsByOccupationalSeriesAndRacialEthnicGroup[[#This Row],[White Male Average Salary]],"")</f>
        <v/>
      </c>
      <c r="L292" s="10">
        <f>IFERROR(FemalePayGapsByOccupationalSeriesAndRacialEthnicGroup[[#This Row],[ANHPI Female Employees]]/M$318,"")</f>
        <v>9.3523497778816924E-5</v>
      </c>
      <c r="M292" s="8">
        <v>6</v>
      </c>
      <c r="N292" s="6">
        <v>96725.833333332994</v>
      </c>
      <c r="O292" s="52">
        <f>IFERROR(FemalePayGapsByOccupationalSeriesAndRacialEthnicGroup[[#This Row],[ANHPI Female Avg Salary]]/FemalePayGapsByOccupationalSeriesAndRacialEthnicGroup[[#This Row],[White Male Average Salary]],"")</f>
        <v>1.0418544310767641</v>
      </c>
      <c r="P292" s="10">
        <f>IFERROR(FemalePayGapsByOccupationalSeriesAndRacialEthnicGroup[[#This Row],[Black Female Employees]]/Q$318,"")</f>
        <v>1.2356533517097164E-4</v>
      </c>
      <c r="Q292" s="8">
        <v>26</v>
      </c>
      <c r="R292" s="6">
        <v>82657.346153845996</v>
      </c>
      <c r="S292" s="52">
        <f>IFERROR(FemalePayGapsByOccupationalSeriesAndRacialEthnicGroup[[#This Row],[Black Female Avg Salary]]/FemalePayGapsByOccupationalSeriesAndRacialEthnicGroup[[#This Row],[White Male Average Salary]],"")</f>
        <v>0.89031977687550556</v>
      </c>
      <c r="T292" s="10">
        <f>IFERROR(FemalePayGapsByOccupationalSeriesAndRacialEthnicGroup[[#This Row],[Hispanic Latino Female Employees]]/U$318,"")</f>
        <v>6.9731967748964917E-3</v>
      </c>
      <c r="U292" s="8">
        <v>544</v>
      </c>
      <c r="V292" s="6">
        <v>95748.5</v>
      </c>
      <c r="W292" s="52">
        <f>IFERROR(FemalePayGapsByOccupationalSeriesAndRacialEthnicGroup[[#This Row],[Hispanic Latino Female Avg Salary]]/FemalePayGapsByOccupationalSeriesAndRacialEthnicGroup[[#This Row],[White Male Average Salary]],"")</f>
        <v>1.03132736680777</v>
      </c>
      <c r="X292" s="10">
        <f>IFERROR(FemalePayGapsByOccupationalSeriesAndRacialEthnicGroup[[#This Row],[Other Female Employees]]/Y$318,"")</f>
        <v>9.0441467412808775E-4</v>
      </c>
      <c r="Y292" s="8">
        <v>16</v>
      </c>
      <c r="Z292" s="6">
        <v>92992.875</v>
      </c>
      <c r="AA292" s="1">
        <f>IFERROR(FemalePayGapsByOccupationalSeriesAndRacialEthnicGroup[[#This Row],[Other Female Avg Salary]]/FemalePayGapsByOccupationalSeriesAndRacialEthnicGroup[[#This Row],[White Male Average Salary]],"")</f>
        <v>1.0016459464705358</v>
      </c>
    </row>
    <row r="293" spans="1:27" ht="15.6" x14ac:dyDescent="0.3">
      <c r="A293" s="46" t="s">
        <v>301</v>
      </c>
      <c r="B293" s="40">
        <v>6041</v>
      </c>
      <c r="C293" s="41">
        <v>90242.295364238002</v>
      </c>
      <c r="D293" s="70">
        <f>IFERROR(FemalePayGapsByOccupationalSeriesAndRacialEthnicGroup[[#This Row],[White Female Employees]]/E$318,"")</f>
        <v>1.6210366748594736E-3</v>
      </c>
      <c r="E293" s="16">
        <v>740</v>
      </c>
      <c r="F293" s="17">
        <v>91250.604871447998</v>
      </c>
      <c r="G293" s="18">
        <f>IFERROR(FemalePayGapsByOccupationalSeriesAndRacialEthnicGroup[[#This Row],[White Female Avg Salary]]/FemalePayGapsByOccupationalSeriesAndRacialEthnicGroup[[#This Row],[White Male Average Salary]],"")</f>
        <v>1.0111733583807929</v>
      </c>
      <c r="H293" s="10" t="str">
        <f>IFERROR(FemalePayGapsByOccupationalSeriesAndRacialEthnicGroup[[#This Row],[AIAN Female Employees]]/I$318,"")</f>
        <v/>
      </c>
      <c r="I293" t="s">
        <v>0</v>
      </c>
      <c r="J293" s="6" t="s">
        <v>0</v>
      </c>
      <c r="K293" s="52" t="str">
        <f>IFERROR(FemalePayGapsByOccupationalSeriesAndRacialEthnicGroup[[#This Row],[AIAN Female Avg Salary]]/FemalePayGapsByOccupationalSeriesAndRacialEthnicGroup[[#This Row],[White Male Average Salary]],"")</f>
        <v/>
      </c>
      <c r="L293" s="10">
        <f>IFERROR(FemalePayGapsByOccupationalSeriesAndRacialEthnicGroup[[#This Row],[ANHPI Female Employees]]/M$318,"")</f>
        <v>9.6640947704777487E-4</v>
      </c>
      <c r="M293" s="8">
        <v>62</v>
      </c>
      <c r="N293" s="6">
        <v>96296.516129031996</v>
      </c>
      <c r="O293" s="52">
        <f>IFERROR(FemalePayGapsByOccupationalSeriesAndRacialEthnicGroup[[#This Row],[ANHPI Female Avg Salary]]/FemalePayGapsByOccupationalSeriesAndRacialEthnicGroup[[#This Row],[White Male Average Salary]],"")</f>
        <v>1.067088505898014</v>
      </c>
      <c r="P293" s="10">
        <f>IFERROR(FemalePayGapsByOccupationalSeriesAndRacialEthnicGroup[[#This Row],[Black Female Employees]]/Q$318,"")</f>
        <v>1.2594159161656727E-3</v>
      </c>
      <c r="Q293" s="8">
        <v>265</v>
      </c>
      <c r="R293" s="6">
        <v>90746.784905659995</v>
      </c>
      <c r="S293" s="52">
        <f>IFERROR(FemalePayGapsByOccupationalSeriesAndRacialEthnicGroup[[#This Row],[Black Female Avg Salary]]/FemalePayGapsByOccupationalSeriesAndRacialEthnicGroup[[#This Row],[White Male Average Salary]],"")</f>
        <v>1.0055903890674074</v>
      </c>
      <c r="T293" s="10">
        <f>IFERROR(FemalePayGapsByOccupationalSeriesAndRacialEthnicGroup[[#This Row],[Hispanic Latino Female Employees]]/U$318,"")</f>
        <v>1.3459295245664183E-3</v>
      </c>
      <c r="U293" s="8">
        <v>105</v>
      </c>
      <c r="V293" s="6">
        <v>86751.761904761996</v>
      </c>
      <c r="W293" s="52">
        <f>IFERROR(FemalePayGapsByOccupationalSeriesAndRacialEthnicGroup[[#This Row],[Hispanic Latino Female Avg Salary]]/FemalePayGapsByOccupationalSeriesAndRacialEthnicGroup[[#This Row],[White Male Average Salary]],"")</f>
        <v>0.96132042690860831</v>
      </c>
      <c r="X293" s="10">
        <f>IFERROR(FemalePayGapsByOccupationalSeriesAndRacialEthnicGroup[[#This Row],[Other Female Employees]]/Y$318,"")</f>
        <v>2.0349330167881972E-3</v>
      </c>
      <c r="Y293" s="8">
        <v>36</v>
      </c>
      <c r="Z293" s="6">
        <v>88262.722222222001</v>
      </c>
      <c r="AA293" s="1">
        <f>IFERROR(FemalePayGapsByOccupationalSeriesAndRacialEthnicGroup[[#This Row],[Other Female Avg Salary]]/FemalePayGapsByOccupationalSeriesAndRacialEthnicGroup[[#This Row],[White Male Average Salary]],"")</f>
        <v>0.97806379886475625</v>
      </c>
    </row>
    <row r="294" spans="1:27" ht="15.6" x14ac:dyDescent="0.3">
      <c r="A294" s="45" t="s">
        <v>302</v>
      </c>
      <c r="B294" s="38">
        <v>504</v>
      </c>
      <c r="C294" s="39">
        <v>69065.697813121005</v>
      </c>
      <c r="D294" s="69">
        <f>IFERROR(FemalePayGapsByOccupationalSeriesAndRacialEthnicGroup[[#This Row],[White Female Employees]]/E$318,"")</f>
        <v>5.4107575498687837E-4</v>
      </c>
      <c r="E294" s="67">
        <v>247</v>
      </c>
      <c r="F294" s="64">
        <v>63245.514170039998</v>
      </c>
      <c r="G294" s="72">
        <f>IFERROR(FemalePayGapsByOccupationalSeriesAndRacialEthnicGroup[[#This Row],[White Female Avg Salary]]/FemalePayGapsByOccupationalSeriesAndRacialEthnicGroup[[#This Row],[White Male Average Salary]],"")</f>
        <v>0.91572974968226128</v>
      </c>
      <c r="H294" s="10" t="str">
        <f>IFERROR(FemalePayGapsByOccupationalSeriesAndRacialEthnicGroup[[#This Row],[AIAN Female Employees]]/I$318,"")</f>
        <v/>
      </c>
      <c r="I294" t="s">
        <v>0</v>
      </c>
      <c r="J294" s="6" t="s">
        <v>0</v>
      </c>
      <c r="K294" s="52" t="str">
        <f>IFERROR(FemalePayGapsByOccupationalSeriesAndRacialEthnicGroup[[#This Row],[AIAN Female Avg Salary]]/FemalePayGapsByOccupationalSeriesAndRacialEthnicGroup[[#This Row],[White Male Average Salary]],"")</f>
        <v/>
      </c>
      <c r="L294" s="10" t="str">
        <f>IFERROR(FemalePayGapsByOccupationalSeriesAndRacialEthnicGroup[[#This Row],[ANHPI Female Employees]]/M$318,"")</f>
        <v/>
      </c>
      <c r="M294" s="8" t="s">
        <v>0</v>
      </c>
      <c r="N294" s="6" t="s">
        <v>0</v>
      </c>
      <c r="O294" s="52" t="str">
        <f>IFERROR(FemalePayGapsByOccupationalSeriesAndRacialEthnicGroup[[#This Row],[ANHPI Female Avg Salary]]/FemalePayGapsByOccupationalSeriesAndRacialEthnicGroup[[#This Row],[White Male Average Salary]],"")</f>
        <v/>
      </c>
      <c r="P294" s="10">
        <f>IFERROR(FemalePayGapsByOccupationalSeriesAndRacialEthnicGroup[[#This Row],[Black Female Employees]]/Q$318,"")</f>
        <v>3.3267590238338524E-4</v>
      </c>
      <c r="Q294" s="8">
        <v>70</v>
      </c>
      <c r="R294" s="6">
        <v>61697.428571429002</v>
      </c>
      <c r="S294" s="52">
        <f>IFERROR(FemalePayGapsByOccupationalSeriesAndRacialEthnicGroup[[#This Row],[Black Female Avg Salary]]/FemalePayGapsByOccupationalSeriesAndRacialEthnicGroup[[#This Row],[White Male Average Salary]],"")</f>
        <v>0.8933150684782889</v>
      </c>
      <c r="T294" s="10">
        <f>IFERROR(FemalePayGapsByOccupationalSeriesAndRacialEthnicGroup[[#This Row],[Hispanic Latino Female Employees]]/U$318,"")</f>
        <v>8.3319446758873519E-4</v>
      </c>
      <c r="U294" s="8">
        <v>65</v>
      </c>
      <c r="V294" s="6">
        <v>62034.184615384998</v>
      </c>
      <c r="W294" s="52">
        <f>IFERROR(FemalePayGapsByOccupationalSeriesAndRacialEthnicGroup[[#This Row],[Hispanic Latino Female Avg Salary]]/FemalePayGapsByOccupationalSeriesAndRacialEthnicGroup[[#This Row],[White Male Average Salary]],"")</f>
        <v>0.89819094832340685</v>
      </c>
      <c r="X294" s="10" t="str">
        <f>IFERROR(FemalePayGapsByOccupationalSeriesAndRacialEthnicGroup[[#This Row],[Other Female Employees]]/Y$318,"")</f>
        <v/>
      </c>
      <c r="Y294" s="8" t="s">
        <v>0</v>
      </c>
      <c r="Z294" s="6" t="s">
        <v>0</v>
      </c>
      <c r="AA29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295" spans="1:27" ht="15.6" x14ac:dyDescent="0.3">
      <c r="A295" s="46" t="s">
        <v>303</v>
      </c>
      <c r="B295" s="40">
        <v>1365</v>
      </c>
      <c r="C295" s="41">
        <v>79218.804395604006</v>
      </c>
      <c r="D295" s="70">
        <f>IFERROR(FemalePayGapsByOccupationalSeriesAndRacialEthnicGroup[[#This Row],[White Female Employees]]/E$318,"")</f>
        <v>1.296829339887579E-3</v>
      </c>
      <c r="E295" s="16">
        <v>592</v>
      </c>
      <c r="F295" s="17">
        <v>78468.194585448</v>
      </c>
      <c r="G295" s="18">
        <f>IFERROR(FemalePayGapsByOccupationalSeriesAndRacialEthnicGroup[[#This Row],[White Female Avg Salary]]/FemalePayGapsByOccupationalSeriesAndRacialEthnicGroup[[#This Row],[White Male Average Salary]],"")</f>
        <v>0.99052485308402793</v>
      </c>
      <c r="H295" s="10" t="str">
        <f>IFERROR(FemalePayGapsByOccupationalSeriesAndRacialEthnicGroup[[#This Row],[AIAN Female Employees]]/I$318,"")</f>
        <v/>
      </c>
      <c r="I295" t="s">
        <v>0</v>
      </c>
      <c r="J295" s="6" t="s">
        <v>0</v>
      </c>
      <c r="K295" s="52" t="str">
        <f>IFERROR(FemalePayGapsByOccupationalSeriesAndRacialEthnicGroup[[#This Row],[AIAN Female Avg Salary]]/FemalePayGapsByOccupationalSeriesAndRacialEthnicGroup[[#This Row],[White Male Average Salary]],"")</f>
        <v/>
      </c>
      <c r="L295" s="10">
        <f>IFERROR(FemalePayGapsByOccupationalSeriesAndRacialEthnicGroup[[#This Row],[ANHPI Female Employees]]/M$318,"")</f>
        <v>8.4171148000935234E-4</v>
      </c>
      <c r="M295" s="8">
        <v>54</v>
      </c>
      <c r="N295" s="6">
        <v>75036.981481480994</v>
      </c>
      <c r="O295" s="52">
        <f>IFERROR(FemalePayGapsByOccupationalSeriesAndRacialEthnicGroup[[#This Row],[ANHPI Female Avg Salary]]/FemalePayGapsByOccupationalSeriesAndRacialEthnicGroup[[#This Row],[White Male Average Salary]],"")</f>
        <v>0.94721173910628886</v>
      </c>
      <c r="P295" s="10">
        <f>IFERROR(FemalePayGapsByOccupationalSeriesAndRacialEthnicGroup[[#This Row],[Black Female Employees]]/Q$318,"")</f>
        <v>1.7109046408288382E-3</v>
      </c>
      <c r="Q295" s="8">
        <v>360</v>
      </c>
      <c r="R295" s="6">
        <v>79495.311977716003</v>
      </c>
      <c r="S295" s="52">
        <f>IFERROR(FemalePayGapsByOccupationalSeriesAndRacialEthnicGroup[[#This Row],[Black Female Avg Salary]]/FemalePayGapsByOccupationalSeriesAndRacialEthnicGroup[[#This Row],[White Male Average Salary]],"")</f>
        <v>1.0034904286200934</v>
      </c>
      <c r="T295" s="10">
        <f>IFERROR(FemalePayGapsByOccupationalSeriesAndRacialEthnicGroup[[#This Row],[Hispanic Latino Female Employees]]/U$318,"")</f>
        <v>1.3587479009908605E-3</v>
      </c>
      <c r="U295" s="8">
        <v>106</v>
      </c>
      <c r="V295" s="6">
        <v>77231.245283019001</v>
      </c>
      <c r="W295" s="52">
        <f>IFERROR(FemalePayGapsByOccupationalSeriesAndRacialEthnicGroup[[#This Row],[Hispanic Latino Female Avg Salary]]/FemalePayGapsByOccupationalSeriesAndRacialEthnicGroup[[#This Row],[White Male Average Salary]],"")</f>
        <v>0.97491051363689485</v>
      </c>
      <c r="X295" s="10">
        <f>IFERROR(FemalePayGapsByOccupationalSeriesAndRacialEthnicGroup[[#This Row],[Other Female Employees]]/Y$318,"")</f>
        <v>2.4306144367192356E-3</v>
      </c>
      <c r="Y295" s="8">
        <v>43</v>
      </c>
      <c r="Z295" s="6">
        <v>75911.953488372004</v>
      </c>
      <c r="AA295" s="1">
        <f>IFERROR(FemalePayGapsByOccupationalSeriesAndRacialEthnicGroup[[#This Row],[Other Female Avg Salary]]/FemalePayGapsByOccupationalSeriesAndRacialEthnicGroup[[#This Row],[White Male Average Salary]],"")</f>
        <v>0.95825674304905939</v>
      </c>
    </row>
    <row r="296" spans="1:27" ht="15.6" x14ac:dyDescent="0.3">
      <c r="A296" s="45" t="s">
        <v>304</v>
      </c>
      <c r="B296" s="38">
        <v>1477</v>
      </c>
      <c r="C296" s="39">
        <v>93828.846310088004</v>
      </c>
      <c r="D296" s="69">
        <f>IFERROR(FemalePayGapsByOccupationalSeriesAndRacialEthnicGroup[[#This Row],[White Female Employees]]/E$318,"")</f>
        <v>1.5093165797002395E-3</v>
      </c>
      <c r="E296" s="67">
        <v>689</v>
      </c>
      <c r="F296" s="64">
        <v>90915.595065311994</v>
      </c>
      <c r="G296" s="72">
        <f>IFERROR(FemalePayGapsByOccupationalSeriesAndRacialEthnicGroup[[#This Row],[White Female Avg Salary]]/FemalePayGapsByOccupationalSeriesAndRacialEthnicGroup[[#This Row],[White Male Average Salary]],"")</f>
        <v>0.96895143274864304</v>
      </c>
      <c r="H296" s="10" t="str">
        <f>IFERROR(FemalePayGapsByOccupationalSeriesAndRacialEthnicGroup[[#This Row],[AIAN Female Employees]]/I$318,"")</f>
        <v/>
      </c>
      <c r="I296" t="s">
        <v>0</v>
      </c>
      <c r="J296" s="6" t="s">
        <v>0</v>
      </c>
      <c r="K296" s="52" t="str">
        <f>IFERROR(FemalePayGapsByOccupationalSeriesAndRacialEthnicGroup[[#This Row],[AIAN Female Avg Salary]]/FemalePayGapsByOccupationalSeriesAndRacialEthnicGroup[[#This Row],[White Male Average Salary]],"")</f>
        <v/>
      </c>
      <c r="L296" s="10">
        <f>IFERROR(FemalePayGapsByOccupationalSeriesAndRacialEthnicGroup[[#This Row],[ANHPI Female Employees]]/M$318,"")</f>
        <v>1.0911074740861974E-3</v>
      </c>
      <c r="M296" s="8">
        <v>70</v>
      </c>
      <c r="N296" s="6">
        <v>91727.442857143003</v>
      </c>
      <c r="O296" s="52">
        <f>IFERROR(FemalePayGapsByOccupationalSeriesAndRacialEthnicGroup[[#This Row],[ANHPI Female Avg Salary]]/FemalePayGapsByOccupationalSeriesAndRacialEthnicGroup[[#This Row],[White Male Average Salary]],"")</f>
        <v>0.97760386559587198</v>
      </c>
      <c r="P296" s="10">
        <f>IFERROR(FemalePayGapsByOccupationalSeriesAndRacialEthnicGroup[[#This Row],[Black Female Employees]]/Q$318,"")</f>
        <v>1.7964498728702801E-3</v>
      </c>
      <c r="Q296" s="8">
        <v>378</v>
      </c>
      <c r="R296" s="6">
        <v>92894.582010582002</v>
      </c>
      <c r="S296" s="52">
        <f>IFERROR(FemalePayGapsByOccupationalSeriesAndRacialEthnicGroup[[#This Row],[Black Female Avg Salary]]/FemalePayGapsByOccupationalSeriesAndRacialEthnicGroup[[#This Row],[White Male Average Salary]],"")</f>
        <v>0.99004288834141241</v>
      </c>
      <c r="T296" s="10">
        <f>IFERROR(FemalePayGapsByOccupationalSeriesAndRacialEthnicGroup[[#This Row],[Hispanic Latino Female Employees]]/U$318,"")</f>
        <v>1.6535705587530283E-3</v>
      </c>
      <c r="U296" s="8">
        <v>129</v>
      </c>
      <c r="V296" s="6">
        <v>88418.395348837003</v>
      </c>
      <c r="W296" s="52">
        <f>IFERROR(FemalePayGapsByOccupationalSeriesAndRacialEthnicGroup[[#This Row],[Hispanic Latino Female Avg Salary]]/FemalePayGapsByOccupationalSeriesAndRacialEthnicGroup[[#This Row],[White Male Average Salary]],"")</f>
        <v>0.94233701922146196</v>
      </c>
      <c r="X296" s="10">
        <f>IFERROR(FemalePayGapsByOccupationalSeriesAndRacialEthnicGroup[[#This Row],[Other Female Employees]]/Y$318,"")</f>
        <v>2.7132440223842634E-3</v>
      </c>
      <c r="Y296" s="8">
        <v>48</v>
      </c>
      <c r="Z296" s="6">
        <v>85871.041666667006</v>
      </c>
      <c r="AA296" s="1">
        <f>IFERROR(FemalePayGapsByOccupationalSeriesAndRacialEthnicGroup[[#This Row],[Other Female Avg Salary]]/FemalePayGapsByOccupationalSeriesAndRacialEthnicGroup[[#This Row],[White Male Average Salary]],"")</f>
        <v>0.91518807961123338</v>
      </c>
    </row>
    <row r="297" spans="1:27" ht="15.6" x14ac:dyDescent="0.3">
      <c r="A297" s="46" t="s">
        <v>305</v>
      </c>
      <c r="B297" s="40">
        <v>2437</v>
      </c>
      <c r="C297" s="41">
        <v>50653.460558751001</v>
      </c>
      <c r="D297" s="70">
        <f>IFERROR(FemalePayGapsByOccupationalSeriesAndRacialEthnicGroup[[#This Row],[White Female Employees]]/E$318,"")</f>
        <v>2.7973835591831729E-3</v>
      </c>
      <c r="E297" s="16">
        <v>1277</v>
      </c>
      <c r="F297" s="17">
        <v>50863.664839466997</v>
      </c>
      <c r="G297" s="18">
        <f>IFERROR(FemalePayGapsByOccupationalSeriesAndRacialEthnicGroup[[#This Row],[White Female Avg Salary]]/FemalePayGapsByOccupationalSeriesAndRacialEthnicGroup[[#This Row],[White Male Average Salary]],"")</f>
        <v>1.0041498503438318</v>
      </c>
      <c r="H297" s="10">
        <f>IFERROR(FemalePayGapsByOccupationalSeriesAndRacialEthnicGroup[[#This Row],[AIAN Female Employees]]/I$318,"")</f>
        <v>5.8966565349544073E-3</v>
      </c>
      <c r="I297">
        <v>97</v>
      </c>
      <c r="J297" s="6">
        <v>48695.855670103003</v>
      </c>
      <c r="K297" s="52">
        <f>IFERROR(FemalePayGapsByOccupationalSeriesAndRacialEthnicGroup[[#This Row],[AIAN Female Avg Salary]]/FemalePayGapsByOccupationalSeriesAndRacialEthnicGroup[[#This Row],[White Male Average Salary]],"")</f>
        <v>0.96135298818572434</v>
      </c>
      <c r="L297" s="10">
        <f>IFERROR(FemalePayGapsByOccupationalSeriesAndRacialEthnicGroup[[#This Row],[ANHPI Female Employees]]/M$318,"")</f>
        <v>2.5563089392876626E-3</v>
      </c>
      <c r="M297" s="8">
        <v>164</v>
      </c>
      <c r="N297" s="6">
        <v>50209.591463415003</v>
      </c>
      <c r="O297" s="52">
        <f>IFERROR(FemalePayGapsByOccupationalSeriesAndRacialEthnicGroup[[#This Row],[ANHPI Female Avg Salary]]/FemalePayGapsByOccupationalSeriesAndRacialEthnicGroup[[#This Row],[White Male Average Salary]],"")</f>
        <v>0.99123714173839772</v>
      </c>
      <c r="P297" s="10">
        <f>IFERROR(FemalePayGapsByOccupationalSeriesAndRacialEthnicGroup[[#This Row],[Black Female Employees]]/Q$318,"")</f>
        <v>4.1869638571394628E-3</v>
      </c>
      <c r="Q297" s="8">
        <v>881</v>
      </c>
      <c r="R297" s="6">
        <v>49758.408418658</v>
      </c>
      <c r="S297" s="52">
        <f>IFERROR(FemalePayGapsByOccupationalSeriesAndRacialEthnicGroup[[#This Row],[Black Female Avg Salary]]/FemalePayGapsByOccupationalSeriesAndRacialEthnicGroup[[#This Row],[White Male Average Salary]],"")</f>
        <v>0.98232989157661077</v>
      </c>
      <c r="T297" s="10">
        <f>IFERROR(FemalePayGapsByOccupationalSeriesAndRacialEthnicGroup[[#This Row],[Hispanic Latino Female Employees]]/U$318,"")</f>
        <v>4.0634253265481391E-3</v>
      </c>
      <c r="U297" s="8">
        <v>317</v>
      </c>
      <c r="V297" s="6">
        <v>50641.381703469997</v>
      </c>
      <c r="W297" s="52">
        <f>IFERROR(FemalePayGapsByOccupationalSeriesAndRacialEthnicGroup[[#This Row],[Hispanic Latino Female Avg Salary]]/FemalePayGapsByOccupationalSeriesAndRacialEthnicGroup[[#This Row],[White Male Average Salary]],"")</f>
        <v>0.9997615393864947</v>
      </c>
      <c r="X297" s="10">
        <f>IFERROR(FemalePayGapsByOccupationalSeriesAndRacialEthnicGroup[[#This Row],[Other Female Employees]]/Y$318,"")</f>
        <v>3.5611327793793456E-3</v>
      </c>
      <c r="Y297" s="8">
        <v>63</v>
      </c>
      <c r="Z297" s="6">
        <v>51214</v>
      </c>
      <c r="AA297" s="1">
        <f>IFERROR(FemalePayGapsByOccupationalSeriesAndRacialEthnicGroup[[#This Row],[Other Female Avg Salary]]/FemalePayGapsByOccupationalSeriesAndRacialEthnicGroup[[#This Row],[White Male Average Salary]],"")</f>
        <v>1.0110661628063664</v>
      </c>
    </row>
    <row r="298" spans="1:27" ht="15.6" x14ac:dyDescent="0.3">
      <c r="A298" s="45" t="s">
        <v>306</v>
      </c>
      <c r="B298" s="38">
        <v>2163</v>
      </c>
      <c r="C298" s="39">
        <v>74452.637372803001</v>
      </c>
      <c r="D298" s="69">
        <f>IFERROR(FemalePayGapsByOccupationalSeriesAndRacialEthnicGroup[[#This Row],[White Female Employees]]/E$318,"")</f>
        <v>3.0230143396028021E-3</v>
      </c>
      <c r="E298" s="67">
        <v>1380</v>
      </c>
      <c r="F298" s="64">
        <v>74012.052173913005</v>
      </c>
      <c r="G298" s="72">
        <f>IFERROR(FemalePayGapsByOccupationalSeriesAndRacialEthnicGroup[[#This Row],[White Female Avg Salary]]/FemalePayGapsByOccupationalSeriesAndRacialEthnicGroup[[#This Row],[White Male Average Salary]],"")</f>
        <v>0.99408234262160688</v>
      </c>
      <c r="H298" s="10">
        <f>IFERROR(FemalePayGapsByOccupationalSeriesAndRacialEthnicGroup[[#This Row],[AIAN Female Employees]]/I$318,"")</f>
        <v>3.0395136778115501E-3</v>
      </c>
      <c r="I298">
        <v>50</v>
      </c>
      <c r="J298" s="6">
        <v>70609.56</v>
      </c>
      <c r="K298" s="52">
        <f>IFERROR(FemalePayGapsByOccupationalSeriesAndRacialEthnicGroup[[#This Row],[AIAN Female Avg Salary]]/FemalePayGapsByOccupationalSeriesAndRacialEthnicGroup[[#This Row],[White Male Average Salary]],"")</f>
        <v>0.94838225335712756</v>
      </c>
      <c r="L298" s="10">
        <f>IFERROR(FemalePayGapsByOccupationalSeriesAndRacialEthnicGroup[[#This Row],[ANHPI Female Employees]]/M$318,"")</f>
        <v>1.6054867118696905E-3</v>
      </c>
      <c r="M298" s="8">
        <v>103</v>
      </c>
      <c r="N298" s="6">
        <v>70401.650485437</v>
      </c>
      <c r="O298" s="52">
        <f>IFERROR(FemalePayGapsByOccupationalSeriesAndRacialEthnicGroup[[#This Row],[ANHPI Female Avg Salary]]/FemalePayGapsByOccupationalSeriesAndRacialEthnicGroup[[#This Row],[White Male Average Salary]],"")</f>
        <v>0.94558974630970161</v>
      </c>
      <c r="P298" s="10">
        <f>IFERROR(FemalePayGapsByOccupationalSeriesAndRacialEthnicGroup[[#This Row],[Black Female Employees]]/Q$318,"")</f>
        <v>3.9018130836679893E-3</v>
      </c>
      <c r="Q298" s="8">
        <v>821</v>
      </c>
      <c r="R298" s="6">
        <v>75512.371498173001</v>
      </c>
      <c r="S298" s="52">
        <f>IFERROR(FemalePayGapsByOccupationalSeriesAndRacialEthnicGroup[[#This Row],[Black Female Avg Salary]]/FemalePayGapsByOccupationalSeriesAndRacialEthnicGroup[[#This Row],[White Male Average Salary]],"")</f>
        <v>1.01423366804407</v>
      </c>
      <c r="T298" s="10">
        <f>IFERROR(FemalePayGapsByOccupationalSeriesAndRacialEthnicGroup[[#This Row],[Hispanic Latino Female Employees]]/U$318,"")</f>
        <v>2.7303141784061633E-3</v>
      </c>
      <c r="U298" s="8">
        <v>213</v>
      </c>
      <c r="V298" s="6">
        <v>75139.521126760999</v>
      </c>
      <c r="W298" s="52">
        <f>IFERROR(FemalePayGapsByOccupationalSeriesAndRacialEthnicGroup[[#This Row],[Hispanic Latino Female Avg Salary]]/FemalePayGapsByOccupationalSeriesAndRacialEthnicGroup[[#This Row],[White Male Average Salary]],"")</f>
        <v>1.0092257813584038</v>
      </c>
      <c r="X298" s="10">
        <f>IFERROR(FemalePayGapsByOccupationalSeriesAndRacialEthnicGroup[[#This Row],[Other Female Employees]]/Y$318,"")</f>
        <v>3.1654513594483072E-3</v>
      </c>
      <c r="Y298" s="8">
        <v>56</v>
      </c>
      <c r="Z298" s="6">
        <v>73984.071428570998</v>
      </c>
      <c r="AA298" s="1">
        <f>IFERROR(FemalePayGapsByOccupationalSeriesAndRacialEthnicGroup[[#This Row],[Other Female Avg Salary]]/FemalePayGapsByOccupationalSeriesAndRacialEthnicGroup[[#This Row],[White Male Average Salary]],"")</f>
        <v>0.9937065232238077</v>
      </c>
    </row>
    <row r="299" spans="1:27" ht="15.6" x14ac:dyDescent="0.3">
      <c r="A299" s="46" t="s">
        <v>307</v>
      </c>
      <c r="B299" s="40">
        <v>312</v>
      </c>
      <c r="C299" s="41">
        <v>86544.137820513002</v>
      </c>
      <c r="D299" s="70">
        <f>IFERROR(FemalePayGapsByOccupationalSeriesAndRacialEthnicGroup[[#This Row],[White Female Employees]]/E$318,"")</f>
        <v>1.423883565754943E-4</v>
      </c>
      <c r="E299" s="16">
        <v>65</v>
      </c>
      <c r="F299" s="17">
        <v>82424.384615385003</v>
      </c>
      <c r="G299" s="18">
        <f>IFERROR(FemalePayGapsByOccupationalSeriesAndRacialEthnicGroup[[#This Row],[White Female Avg Salary]]/FemalePayGapsByOccupationalSeriesAndRacialEthnicGroup[[#This Row],[White Male Average Salary]],"")</f>
        <v>0.95239708536155154</v>
      </c>
      <c r="H299" s="10" t="str">
        <f>IFERROR(FemalePayGapsByOccupationalSeriesAndRacialEthnicGroup[[#This Row],[AIAN Female Employees]]/I$318,"")</f>
        <v/>
      </c>
      <c r="I299" t="s">
        <v>0</v>
      </c>
      <c r="J299" s="6" t="s">
        <v>0</v>
      </c>
      <c r="K299" s="52" t="str">
        <f>IFERROR(FemalePayGapsByOccupationalSeriesAndRacialEthnicGroup[[#This Row],[AIAN Female Avg Salary]]/FemalePayGapsByOccupationalSeriesAndRacialEthnicGroup[[#This Row],[White Male Average Salary]],"")</f>
        <v/>
      </c>
      <c r="L299" s="10" t="str">
        <f>IFERROR(FemalePayGapsByOccupationalSeriesAndRacialEthnicGroup[[#This Row],[ANHPI Female Employees]]/M$318,"")</f>
        <v/>
      </c>
      <c r="M299" s="8" t="s">
        <v>0</v>
      </c>
      <c r="N299" s="6" t="s">
        <v>0</v>
      </c>
      <c r="O299" s="52" t="str">
        <f>IFERROR(FemalePayGapsByOccupationalSeriesAndRacialEthnicGroup[[#This Row],[ANHPI Female Avg Salary]]/FemalePayGapsByOccupationalSeriesAndRacialEthnicGroup[[#This Row],[White Male Average Salary]],"")</f>
        <v/>
      </c>
      <c r="P299" s="10">
        <f>IFERROR(FemalePayGapsByOccupationalSeriesAndRacialEthnicGroup[[#This Row],[Black Female Employees]]/Q$318,"")</f>
        <v>1.2356533517097164E-4</v>
      </c>
      <c r="Q299" s="8">
        <v>26</v>
      </c>
      <c r="R299" s="6">
        <v>91128.307692307993</v>
      </c>
      <c r="S299" s="52">
        <f>IFERROR(FemalePayGapsByOccupationalSeriesAndRacialEthnicGroup[[#This Row],[Black Female Avg Salary]]/FemalePayGapsByOccupationalSeriesAndRacialEthnicGroup[[#This Row],[White Male Average Salary]],"")</f>
        <v>1.052969155245411</v>
      </c>
      <c r="T299" s="10" t="str">
        <f>IFERROR(FemalePayGapsByOccupationalSeriesAndRacialEthnicGroup[[#This Row],[Hispanic Latino Female Employees]]/U$318,"")</f>
        <v/>
      </c>
      <c r="U299" s="8" t="s">
        <v>0</v>
      </c>
      <c r="V299" s="47" t="s">
        <v>0</v>
      </c>
      <c r="W299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299" s="10" t="str">
        <f>IFERROR(FemalePayGapsByOccupationalSeriesAndRacialEthnicGroup[[#This Row],[Other Female Employees]]/Y$318,"")</f>
        <v/>
      </c>
      <c r="Y299" s="8" t="s">
        <v>0</v>
      </c>
      <c r="Z299" s="6" t="s">
        <v>0</v>
      </c>
      <c r="AA29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00" spans="1:27" ht="15.6" x14ac:dyDescent="0.3">
      <c r="A300" s="45" t="s">
        <v>308</v>
      </c>
      <c r="B300" s="38">
        <v>78</v>
      </c>
      <c r="C300" s="39">
        <v>92314.512820513002</v>
      </c>
      <c r="D300" s="69">
        <f>IFERROR(FemalePayGapsByOccupationalSeriesAndRacialEthnicGroup[[#This Row],[White Female Employees]]/E$318,"")</f>
        <v>7.0098883237166434E-5</v>
      </c>
      <c r="E300" s="67">
        <v>32</v>
      </c>
      <c r="F300" s="64">
        <v>92371.84375</v>
      </c>
      <c r="G300" s="72">
        <f>IFERROR(FemalePayGapsByOccupationalSeriesAndRacialEthnicGroup[[#This Row],[White Female Avg Salary]]/FemalePayGapsByOccupationalSeriesAndRacialEthnicGroup[[#This Row],[White Male Average Salary]],"")</f>
        <v>1.0006210391815473</v>
      </c>
      <c r="H300" s="10" t="str">
        <f>IFERROR(FemalePayGapsByOccupationalSeriesAndRacialEthnicGroup[[#This Row],[AIAN Female Employees]]/I$318,"")</f>
        <v/>
      </c>
      <c r="I300" t="s">
        <v>0</v>
      </c>
      <c r="J300" s="6" t="s">
        <v>0</v>
      </c>
      <c r="K300" s="52" t="str">
        <f>IFERROR(FemalePayGapsByOccupationalSeriesAndRacialEthnicGroup[[#This Row],[AIAN Female Avg Salary]]/FemalePayGapsByOccupationalSeriesAndRacialEthnicGroup[[#This Row],[White Male Average Salary]],"")</f>
        <v/>
      </c>
      <c r="L300" s="10" t="str">
        <f>IFERROR(FemalePayGapsByOccupationalSeriesAndRacialEthnicGroup[[#This Row],[ANHPI Female Employees]]/M$318,"")</f>
        <v/>
      </c>
      <c r="M300" s="8" t="s">
        <v>0</v>
      </c>
      <c r="N300" s="6" t="s">
        <v>0</v>
      </c>
      <c r="O300" s="52" t="str">
        <f>IFERROR(FemalePayGapsByOccupationalSeriesAndRacialEthnicGroup[[#This Row],[ANHPI Female Avg Salary]]/FemalePayGapsByOccupationalSeriesAndRacialEthnicGroup[[#This Row],[White Male Average Salary]],"")</f>
        <v/>
      </c>
      <c r="P300" s="10" t="str">
        <f>IFERROR(FemalePayGapsByOccupationalSeriesAndRacialEthnicGroup[[#This Row],[Black Female Employees]]/Q$318,"")</f>
        <v/>
      </c>
      <c r="Q300" s="8" t="s">
        <v>0</v>
      </c>
      <c r="R300" s="6" t="s">
        <v>0</v>
      </c>
      <c r="S300" s="52" t="str">
        <f>IFERROR(FemalePayGapsByOccupationalSeriesAndRacialEthnicGroup[[#This Row],[Black Female Avg Salary]]/FemalePayGapsByOccupationalSeriesAndRacialEthnicGroup[[#This Row],[White Male Average Salary]],"")</f>
        <v/>
      </c>
      <c r="T300" s="10" t="str">
        <f>IFERROR(FemalePayGapsByOccupationalSeriesAndRacialEthnicGroup[[#This Row],[Hispanic Latino Female Employees]]/U$318,"")</f>
        <v/>
      </c>
      <c r="U300" s="8" t="s">
        <v>0</v>
      </c>
      <c r="V300" s="47" t="s">
        <v>0</v>
      </c>
      <c r="W300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00" s="10" t="str">
        <f>IFERROR(FemalePayGapsByOccupationalSeriesAndRacialEthnicGroup[[#This Row],[Other Female Employees]]/Y$318,"")</f>
        <v/>
      </c>
      <c r="Y300" s="8" t="s">
        <v>0</v>
      </c>
      <c r="Z300" s="6" t="s">
        <v>0</v>
      </c>
      <c r="AA30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01" spans="1:27" ht="15.6" x14ac:dyDescent="0.3">
      <c r="A301" s="46" t="s">
        <v>309</v>
      </c>
      <c r="B301" s="40">
        <v>42</v>
      </c>
      <c r="C301" s="41">
        <v>37495.5</v>
      </c>
      <c r="D301" s="70">
        <f>IFERROR(FemalePayGapsByOccupationalSeriesAndRacialEthnicGroup[[#This Row],[White Female Employees]]/E$318,"")</f>
        <v>2.0591546950917639E-4</v>
      </c>
      <c r="E301" s="16">
        <v>94</v>
      </c>
      <c r="F301" s="17">
        <v>37940.925531915003</v>
      </c>
      <c r="G301" s="18">
        <f>IFERROR(FemalePayGapsByOccupationalSeriesAndRacialEthnicGroup[[#This Row],[White Female Avg Salary]]/FemalePayGapsByOccupationalSeriesAndRacialEthnicGroup[[#This Row],[White Male Average Salary]],"")</f>
        <v>1.0118794397171662</v>
      </c>
      <c r="H301" s="10" t="str">
        <f>IFERROR(FemalePayGapsByOccupationalSeriesAndRacialEthnicGroup[[#This Row],[AIAN Female Employees]]/I$318,"")</f>
        <v/>
      </c>
      <c r="I301" t="s">
        <v>0</v>
      </c>
      <c r="J301" s="6" t="s">
        <v>0</v>
      </c>
      <c r="K301" s="52" t="str">
        <f>IFERROR(FemalePayGapsByOccupationalSeriesAndRacialEthnicGroup[[#This Row],[AIAN Female Avg Salary]]/FemalePayGapsByOccupationalSeriesAndRacialEthnicGroup[[#This Row],[White Male Average Salary]],"")</f>
        <v/>
      </c>
      <c r="L301" s="10">
        <f>IFERROR(FemalePayGapsByOccupationalSeriesAndRacialEthnicGroup[[#This Row],[ANHPI Female Employees]]/M$318,"")</f>
        <v>1.3249162185332399E-3</v>
      </c>
      <c r="M301" s="8">
        <v>85</v>
      </c>
      <c r="N301" s="6">
        <v>39116.435294117997</v>
      </c>
      <c r="O301" s="52">
        <f>IFERROR(FemalePayGapsByOccupationalSeriesAndRacialEthnicGroup[[#This Row],[ANHPI Female Avg Salary]]/FemalePayGapsByOccupationalSeriesAndRacialEthnicGroup[[#This Row],[White Male Average Salary]],"")</f>
        <v>1.043230128791935</v>
      </c>
      <c r="P301" s="10" t="str">
        <f>IFERROR(FemalePayGapsByOccupationalSeriesAndRacialEthnicGroup[[#This Row],[Black Female Employees]]/Q$318,"")</f>
        <v/>
      </c>
      <c r="Q301" s="8" t="s">
        <v>0</v>
      </c>
      <c r="R301" s="6" t="s">
        <v>0</v>
      </c>
      <c r="S301" s="52" t="str">
        <f>IFERROR(FemalePayGapsByOccupationalSeriesAndRacialEthnicGroup[[#This Row],[Black Female Avg Salary]]/FemalePayGapsByOccupationalSeriesAndRacialEthnicGroup[[#This Row],[White Male Average Salary]],"")</f>
        <v/>
      </c>
      <c r="T301" s="10" t="str">
        <f>IFERROR(FemalePayGapsByOccupationalSeriesAndRacialEthnicGroup[[#This Row],[Hispanic Latino Female Employees]]/U$318,"")</f>
        <v/>
      </c>
      <c r="U301" s="8" t="s">
        <v>0</v>
      </c>
      <c r="V301" s="47" t="s">
        <v>0</v>
      </c>
      <c r="W301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01" s="10" t="str">
        <f>IFERROR(FemalePayGapsByOccupationalSeriesAndRacialEthnicGroup[[#This Row],[Other Female Employees]]/Y$318,"")</f>
        <v/>
      </c>
      <c r="Y301" s="8" t="s">
        <v>0</v>
      </c>
      <c r="Z301" s="6" t="s">
        <v>0</v>
      </c>
      <c r="AA301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02" spans="1:27" ht="15.6" x14ac:dyDescent="0.3">
      <c r="A302" s="45" t="s">
        <v>310</v>
      </c>
      <c r="B302" s="38">
        <v>4940</v>
      </c>
      <c r="C302" s="39">
        <v>107363.765742053</v>
      </c>
      <c r="D302" s="69">
        <f>IFERROR(FemalePayGapsByOccupationalSeriesAndRacialEthnicGroup[[#This Row],[White Female Employees]]/E$318,"")</f>
        <v>1.2333022269538968E-3</v>
      </c>
      <c r="E302" s="67">
        <v>563</v>
      </c>
      <c r="F302" s="64">
        <v>111893.328596803</v>
      </c>
      <c r="G302" s="72">
        <f>IFERROR(FemalePayGapsByOccupationalSeriesAndRacialEthnicGroup[[#This Row],[White Female Avg Salary]]/FemalePayGapsByOccupationalSeriesAndRacialEthnicGroup[[#This Row],[White Male Average Salary]],"")</f>
        <v>1.0421889342595574</v>
      </c>
      <c r="H302" s="10" t="str">
        <f>IFERROR(FemalePayGapsByOccupationalSeriesAndRacialEthnicGroup[[#This Row],[AIAN Female Employees]]/I$318,"")</f>
        <v/>
      </c>
      <c r="I302" t="s">
        <v>0</v>
      </c>
      <c r="J302" s="6" t="s">
        <v>0</v>
      </c>
      <c r="K302" s="52" t="str">
        <f>IFERROR(FemalePayGapsByOccupationalSeriesAndRacialEthnicGroup[[#This Row],[AIAN Female Avg Salary]]/FemalePayGapsByOccupationalSeriesAndRacialEthnicGroup[[#This Row],[White Male Average Salary]],"")</f>
        <v/>
      </c>
      <c r="L302" s="10">
        <f>IFERROR(FemalePayGapsByOccupationalSeriesAndRacialEthnicGroup[[#This Row],[ANHPI Female Employees]]/M$318,"")</f>
        <v>9.5082222741797208E-4</v>
      </c>
      <c r="M302" s="8">
        <v>61</v>
      </c>
      <c r="N302" s="6">
        <v>113526.491803279</v>
      </c>
      <c r="O302" s="52">
        <f>IFERROR(FemalePayGapsByOccupationalSeriesAndRacialEthnicGroup[[#This Row],[ANHPI Female Avg Salary]]/FemalePayGapsByOccupationalSeriesAndRacialEthnicGroup[[#This Row],[White Male Average Salary]],"")</f>
        <v>1.0574004275896234</v>
      </c>
      <c r="P302" s="10">
        <f>IFERROR(FemalePayGapsByOccupationalSeriesAndRacialEthnicGroup[[#This Row],[Black Female Employees]]/Q$318,"")</f>
        <v>1.3734762255542619E-3</v>
      </c>
      <c r="Q302" s="8">
        <v>289</v>
      </c>
      <c r="R302" s="6">
        <v>106024.235294118</v>
      </c>
      <c r="S302" s="52">
        <f>IFERROR(FemalePayGapsByOccupationalSeriesAndRacialEthnicGroup[[#This Row],[Black Female Avg Salary]]/FemalePayGapsByOccupationalSeriesAndRacialEthnicGroup[[#This Row],[White Male Average Salary]],"")</f>
        <v>0.98752344015993909</v>
      </c>
      <c r="T302" s="10">
        <f>IFERROR(FemalePayGapsByOccupationalSeriesAndRacialEthnicGroup[[#This Row],[Hispanic Latino Female Employees]]/U$318,"")</f>
        <v>1.2305641367464397E-3</v>
      </c>
      <c r="U302" s="8">
        <v>96</v>
      </c>
      <c r="V302" s="6">
        <v>102282.77083333299</v>
      </c>
      <c r="W302" s="52">
        <f>IFERROR(FemalePayGapsByOccupationalSeriesAndRacialEthnicGroup[[#This Row],[Hispanic Latino Female Avg Salary]]/FemalePayGapsByOccupationalSeriesAndRacialEthnicGroup[[#This Row],[White Male Average Salary]],"")</f>
        <v>0.9526749562703738</v>
      </c>
      <c r="X302" s="10">
        <f>IFERROR(FemalePayGapsByOccupationalSeriesAndRacialEthnicGroup[[#This Row],[Other Female Employees]]/Y$318,"")</f>
        <v>1.413147928325137E-3</v>
      </c>
      <c r="Y302" s="8">
        <v>25</v>
      </c>
      <c r="Z302" s="6">
        <v>105627.64</v>
      </c>
      <c r="AA302" s="1">
        <f>IFERROR(FemalePayGapsByOccupationalSeriesAndRacialEthnicGroup[[#This Row],[Other Female Avg Salary]]/FemalePayGapsByOccupationalSeriesAndRacialEthnicGroup[[#This Row],[White Male Average Salary]],"")</f>
        <v>0.98382950029692384</v>
      </c>
    </row>
    <row r="303" spans="1:27" ht="15.6" x14ac:dyDescent="0.3">
      <c r="A303" s="46" t="s">
        <v>311</v>
      </c>
      <c r="B303" s="40">
        <v>749</v>
      </c>
      <c r="C303" s="41">
        <v>51645.627844711998</v>
      </c>
      <c r="D303" s="70">
        <f>IFERROR(FemalePayGapsByOccupationalSeriesAndRacialEthnicGroup[[#This Row],[White Female Employees]]/E$318,"")</f>
        <v>1.336259961708485E-3</v>
      </c>
      <c r="E303" s="16">
        <v>610</v>
      </c>
      <c r="F303" s="17">
        <v>50826.854098361</v>
      </c>
      <c r="G303" s="18">
        <f>IFERROR(FemalePayGapsByOccupationalSeriesAndRacialEthnicGroup[[#This Row],[White Female Avg Salary]]/FemalePayGapsByOccupationalSeriesAndRacialEthnicGroup[[#This Row],[White Male Average Salary]],"")</f>
        <v>0.98414631052965629</v>
      </c>
      <c r="H303" s="10" t="str">
        <f>IFERROR(FemalePayGapsByOccupationalSeriesAndRacialEthnicGroup[[#This Row],[AIAN Female Employees]]/I$318,"")</f>
        <v/>
      </c>
      <c r="I303" t="s">
        <v>0</v>
      </c>
      <c r="J303" s="6" t="s">
        <v>0</v>
      </c>
      <c r="K303" s="52" t="str">
        <f>IFERROR(FemalePayGapsByOccupationalSeriesAndRacialEthnicGroup[[#This Row],[AIAN Female Avg Salary]]/FemalePayGapsByOccupationalSeriesAndRacialEthnicGroup[[#This Row],[White Male Average Salary]],"")</f>
        <v/>
      </c>
      <c r="L303" s="10">
        <f>IFERROR(FemalePayGapsByOccupationalSeriesAndRacialEthnicGroup[[#This Row],[ANHPI Female Employees]]/M$318,"")</f>
        <v>1.5743122126100849E-3</v>
      </c>
      <c r="M303" s="8">
        <v>101</v>
      </c>
      <c r="N303" s="6">
        <v>51760.297029702997</v>
      </c>
      <c r="O303" s="52">
        <f>IFERROR(FemalePayGapsByOccupationalSeriesAndRacialEthnicGroup[[#This Row],[ANHPI Female Avg Salary]]/FemalePayGapsByOccupationalSeriesAndRacialEthnicGroup[[#This Row],[White Male Average Salary]],"")</f>
        <v>1.0022203076964382</v>
      </c>
      <c r="P303" s="10">
        <f>IFERROR(FemalePayGapsByOccupationalSeriesAndRacialEthnicGroup[[#This Row],[Black Female Employees]]/Q$318,"")</f>
        <v>2.2621961362070194E-3</v>
      </c>
      <c r="Q303" s="8">
        <v>476</v>
      </c>
      <c r="R303" s="6">
        <v>50493.736286920001</v>
      </c>
      <c r="S303" s="52">
        <f>IFERROR(FemalePayGapsByOccupationalSeriesAndRacialEthnicGroup[[#This Row],[Black Female Avg Salary]]/FemalePayGapsByOccupationalSeriesAndRacialEthnicGroup[[#This Row],[White Male Average Salary]],"")</f>
        <v>0.97769624253081977</v>
      </c>
      <c r="T303" s="10">
        <f>IFERROR(FemalePayGapsByOccupationalSeriesAndRacialEthnicGroup[[#This Row],[Hispanic Latino Female Employees]]/U$318,"")</f>
        <v>1.9099380872418699E-3</v>
      </c>
      <c r="U303" s="8">
        <v>149</v>
      </c>
      <c r="V303" s="6">
        <v>51901.851351350997</v>
      </c>
      <c r="W303" s="52">
        <f>IFERROR(FemalePayGapsByOccupationalSeriesAndRacialEthnicGroup[[#This Row],[Hispanic Latino Female Avg Salary]]/FemalePayGapsByOccupationalSeriesAndRacialEthnicGroup[[#This Row],[White Male Average Salary]],"")</f>
        <v>1.0049611848540096</v>
      </c>
      <c r="X303" s="10" t="str">
        <f>IFERROR(FemalePayGapsByOccupationalSeriesAndRacialEthnicGroup[[#This Row],[Other Female Employees]]/Y$318,"")</f>
        <v/>
      </c>
      <c r="Y303" s="8" t="s">
        <v>0</v>
      </c>
      <c r="Z303" s="6" t="s">
        <v>0</v>
      </c>
      <c r="AA30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04" spans="1:27" ht="15.6" x14ac:dyDescent="0.3">
      <c r="A304" s="45" t="s">
        <v>312</v>
      </c>
      <c r="B304" s="38">
        <v>382</v>
      </c>
      <c r="C304" s="39">
        <v>105576.87172774901</v>
      </c>
      <c r="D304" s="69">
        <f>IFERROR(FemalePayGapsByOccupationalSeriesAndRacialEthnicGroup[[#This Row],[White Female Employees]]/E$318,"")</f>
        <v>3.5049441618583217E-5</v>
      </c>
      <c r="E304" s="67">
        <v>16</v>
      </c>
      <c r="F304" s="64">
        <v>113521.25</v>
      </c>
      <c r="G304" s="72">
        <f>IFERROR(FemalePayGapsByOccupationalSeriesAndRacialEthnicGroup[[#This Row],[White Female Avg Salary]]/FemalePayGapsByOccupationalSeriesAndRacialEthnicGroup[[#This Row],[White Male Average Salary]],"")</f>
        <v>1.0752473353514125</v>
      </c>
      <c r="H304" s="10" t="str">
        <f>IFERROR(FemalePayGapsByOccupationalSeriesAndRacialEthnicGroup[[#This Row],[AIAN Female Employees]]/I$318,"")</f>
        <v/>
      </c>
      <c r="I304" t="s">
        <v>0</v>
      </c>
      <c r="J304" s="6" t="s">
        <v>0</v>
      </c>
      <c r="K304" s="52" t="str">
        <f>IFERROR(FemalePayGapsByOccupationalSeriesAndRacialEthnicGroup[[#This Row],[AIAN Female Avg Salary]]/FemalePayGapsByOccupationalSeriesAndRacialEthnicGroup[[#This Row],[White Male Average Salary]],"")</f>
        <v/>
      </c>
      <c r="L304" s="10" t="str">
        <f>IFERROR(FemalePayGapsByOccupationalSeriesAndRacialEthnicGroup[[#This Row],[ANHPI Female Employees]]/M$318,"")</f>
        <v/>
      </c>
      <c r="M304" s="8" t="s">
        <v>0</v>
      </c>
      <c r="N304" s="6" t="s">
        <v>0</v>
      </c>
      <c r="O304" s="52" t="str">
        <f>IFERROR(FemalePayGapsByOccupationalSeriesAndRacialEthnicGroup[[#This Row],[ANHPI Female Avg Salary]]/FemalePayGapsByOccupationalSeriesAndRacialEthnicGroup[[#This Row],[White Male Average Salary]],"")</f>
        <v/>
      </c>
      <c r="P304" s="10" t="str">
        <f>IFERROR(FemalePayGapsByOccupationalSeriesAndRacialEthnicGroup[[#This Row],[Black Female Employees]]/Q$318,"")</f>
        <v/>
      </c>
      <c r="Q304" s="8" t="s">
        <v>0</v>
      </c>
      <c r="R304" s="6" t="s">
        <v>0</v>
      </c>
      <c r="S304" s="52" t="str">
        <f>IFERROR(FemalePayGapsByOccupationalSeriesAndRacialEthnicGroup[[#This Row],[Black Female Avg Salary]]/FemalePayGapsByOccupationalSeriesAndRacialEthnicGroup[[#This Row],[White Male Average Salary]],"")</f>
        <v/>
      </c>
      <c r="T304" s="10" t="str">
        <f>IFERROR(FemalePayGapsByOccupationalSeriesAndRacialEthnicGroup[[#This Row],[Hispanic Latino Female Employees]]/U$318,"")</f>
        <v/>
      </c>
      <c r="U304" s="8" t="s">
        <v>0</v>
      </c>
      <c r="V304" s="47" t="s">
        <v>0</v>
      </c>
      <c r="W30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04" s="10" t="str">
        <f>IFERROR(FemalePayGapsByOccupationalSeriesAndRacialEthnicGroup[[#This Row],[Other Female Employees]]/Y$318,"")</f>
        <v/>
      </c>
      <c r="Y304" s="8" t="s">
        <v>0</v>
      </c>
      <c r="Z304" s="6" t="s">
        <v>0</v>
      </c>
      <c r="AA30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05" spans="1:27" ht="15.6" x14ac:dyDescent="0.3">
      <c r="A305" s="46" t="s">
        <v>313</v>
      </c>
      <c r="B305" s="40">
        <v>161</v>
      </c>
      <c r="C305" s="41">
        <v>85281.378881987999</v>
      </c>
      <c r="D305" s="70">
        <f>IFERROR(FemalePayGapsByOccupationalSeriesAndRacialEthnicGroup[[#This Row],[White Female Employees]]/E$318,"")</f>
        <v>7.8861243641812227E-5</v>
      </c>
      <c r="E305" s="16">
        <v>36</v>
      </c>
      <c r="F305" s="17">
        <v>92806.583333332994</v>
      </c>
      <c r="G305" s="18">
        <f>IFERROR(FemalePayGapsByOccupationalSeriesAndRacialEthnicGroup[[#This Row],[White Female Avg Salary]]/FemalePayGapsByOccupationalSeriesAndRacialEthnicGroup[[#This Row],[White Male Average Salary]],"")</f>
        <v>1.0882397136396955</v>
      </c>
      <c r="H305" s="10" t="str">
        <f>IFERROR(FemalePayGapsByOccupationalSeriesAndRacialEthnicGroup[[#This Row],[AIAN Female Employees]]/I$318,"")</f>
        <v/>
      </c>
      <c r="I305" t="s">
        <v>0</v>
      </c>
      <c r="J305" s="6" t="s">
        <v>0</v>
      </c>
      <c r="K305" s="52" t="str">
        <f>IFERROR(FemalePayGapsByOccupationalSeriesAndRacialEthnicGroup[[#This Row],[AIAN Female Avg Salary]]/FemalePayGapsByOccupationalSeriesAndRacialEthnicGroup[[#This Row],[White Male Average Salary]],"")</f>
        <v/>
      </c>
      <c r="L305" s="10" t="str">
        <f>IFERROR(FemalePayGapsByOccupationalSeriesAndRacialEthnicGroup[[#This Row],[ANHPI Female Employees]]/M$318,"")</f>
        <v/>
      </c>
      <c r="M305" s="8" t="s">
        <v>0</v>
      </c>
      <c r="N305" s="6" t="s">
        <v>0</v>
      </c>
      <c r="O305" s="52" t="str">
        <f>IFERROR(FemalePayGapsByOccupationalSeriesAndRacialEthnicGroup[[#This Row],[ANHPI Female Avg Salary]]/FemalePayGapsByOccupationalSeriesAndRacialEthnicGroup[[#This Row],[White Male Average Salary]],"")</f>
        <v/>
      </c>
      <c r="P305" s="10" t="str">
        <f>IFERROR(FemalePayGapsByOccupationalSeriesAndRacialEthnicGroup[[#This Row],[Black Female Employees]]/Q$318,"")</f>
        <v/>
      </c>
      <c r="Q305" s="8" t="s">
        <v>0</v>
      </c>
      <c r="R305" s="6" t="s">
        <v>0</v>
      </c>
      <c r="S305" s="52" t="str">
        <f>IFERROR(FemalePayGapsByOccupationalSeriesAndRacialEthnicGroup[[#This Row],[Black Female Avg Salary]]/FemalePayGapsByOccupationalSeriesAndRacialEthnicGroup[[#This Row],[White Male Average Salary]],"")</f>
        <v/>
      </c>
      <c r="T305" s="10">
        <f>IFERROR(FemalePayGapsByOccupationalSeriesAndRacialEthnicGroup[[#This Row],[Hispanic Latino Female Employees]]/U$318,"")</f>
        <v>3.2045941061105198E-4</v>
      </c>
      <c r="U305" s="8">
        <v>25</v>
      </c>
      <c r="V305" s="6">
        <v>94225.88</v>
      </c>
      <c r="W305" s="52">
        <f>IFERROR(FemalePayGapsByOccupationalSeriesAndRacialEthnicGroup[[#This Row],[Hispanic Latino Female Avg Salary]]/FemalePayGapsByOccupationalSeriesAndRacialEthnicGroup[[#This Row],[White Male Average Salary]],"")</f>
        <v>1.1048822291017288</v>
      </c>
      <c r="X305" s="10" t="str">
        <f>IFERROR(FemalePayGapsByOccupationalSeriesAndRacialEthnicGroup[[#This Row],[Other Female Employees]]/Y$318,"")</f>
        <v/>
      </c>
      <c r="Y305" s="8" t="s">
        <v>0</v>
      </c>
      <c r="Z305" s="6" t="s">
        <v>0</v>
      </c>
      <c r="AA30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06" spans="1:27" ht="15.6" x14ac:dyDescent="0.3">
      <c r="A306" s="45" t="s">
        <v>314</v>
      </c>
      <c r="B306" s="38">
        <v>108</v>
      </c>
      <c r="C306" s="39">
        <v>120481.81481481501</v>
      </c>
      <c r="D306" s="69">
        <f>IFERROR(FemalePayGapsByOccupationalSeriesAndRacialEthnicGroup[[#This Row],[White Female Employees]]/E$318,"")</f>
        <v>1.467695367778172E-4</v>
      </c>
      <c r="E306" s="67">
        <v>67</v>
      </c>
      <c r="F306" s="64">
        <v>119247.537313433</v>
      </c>
      <c r="G306" s="72">
        <f>IFERROR(FemalePayGapsByOccupationalSeriesAndRacialEthnicGroup[[#This Row],[White Female Avg Salary]]/FemalePayGapsByOccupationalSeriesAndRacialEthnicGroup[[#This Row],[White Male Average Salary]],"")</f>
        <v>0.98975548713904138</v>
      </c>
      <c r="H306" s="10" t="str">
        <f>IFERROR(FemalePayGapsByOccupationalSeriesAndRacialEthnicGroup[[#This Row],[AIAN Female Employees]]/I$318,"")</f>
        <v/>
      </c>
      <c r="I306" t="s">
        <v>0</v>
      </c>
      <c r="J306" s="6" t="s">
        <v>0</v>
      </c>
      <c r="K306" s="52" t="str">
        <f>IFERROR(FemalePayGapsByOccupationalSeriesAndRacialEthnicGroup[[#This Row],[AIAN Female Avg Salary]]/FemalePayGapsByOccupationalSeriesAndRacialEthnicGroup[[#This Row],[White Male Average Salary]],"")</f>
        <v/>
      </c>
      <c r="L306" s="10" t="str">
        <f>IFERROR(FemalePayGapsByOccupationalSeriesAndRacialEthnicGroup[[#This Row],[ANHPI Female Employees]]/M$318,"")</f>
        <v/>
      </c>
      <c r="M306" s="8" t="s">
        <v>0</v>
      </c>
      <c r="N306" s="6" t="s">
        <v>0</v>
      </c>
      <c r="O306" s="52" t="str">
        <f>IFERROR(FemalePayGapsByOccupationalSeriesAndRacialEthnicGroup[[#This Row],[ANHPI Female Avg Salary]]/FemalePayGapsByOccupationalSeriesAndRacialEthnicGroup[[#This Row],[White Male Average Salary]],"")</f>
        <v/>
      </c>
      <c r="P306" s="10" t="str">
        <f>IFERROR(FemalePayGapsByOccupationalSeriesAndRacialEthnicGroup[[#This Row],[Black Female Employees]]/Q$318,"")</f>
        <v/>
      </c>
      <c r="Q306" s="8" t="s">
        <v>0</v>
      </c>
      <c r="R306" s="6" t="s">
        <v>0</v>
      </c>
      <c r="S306" s="52" t="str">
        <f>IFERROR(FemalePayGapsByOccupationalSeriesAndRacialEthnicGroup[[#This Row],[Black Female Avg Salary]]/FemalePayGapsByOccupationalSeriesAndRacialEthnicGroup[[#This Row],[White Male Average Salary]],"")</f>
        <v/>
      </c>
      <c r="T306" s="10" t="str">
        <f>IFERROR(FemalePayGapsByOccupationalSeriesAndRacialEthnicGroup[[#This Row],[Hispanic Latino Female Employees]]/U$318,"")</f>
        <v/>
      </c>
      <c r="U306" s="8" t="s">
        <v>0</v>
      </c>
      <c r="V306" s="47" t="s">
        <v>0</v>
      </c>
      <c r="W306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06" s="10" t="str">
        <f>IFERROR(FemalePayGapsByOccupationalSeriesAndRacialEthnicGroup[[#This Row],[Other Female Employees]]/Y$318,"")</f>
        <v/>
      </c>
      <c r="Y306" s="8" t="s">
        <v>0</v>
      </c>
      <c r="Z306" s="6" t="s">
        <v>0</v>
      </c>
      <c r="AA306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07" spans="1:27" ht="15.6" x14ac:dyDescent="0.3">
      <c r="A307" s="46" t="s">
        <v>315</v>
      </c>
      <c r="B307" s="40">
        <v>633</v>
      </c>
      <c r="C307" s="41">
        <v>88459.293838862999</v>
      </c>
      <c r="D307" s="70">
        <f>IFERROR(FemalePayGapsByOccupationalSeriesAndRacialEthnicGroup[[#This Row],[White Female Employees]]/E$318,"")</f>
        <v>5.3888516488571697E-4</v>
      </c>
      <c r="E307" s="16">
        <v>246</v>
      </c>
      <c r="F307" s="17">
        <v>85391.975609756002</v>
      </c>
      <c r="G307" s="18">
        <f>IFERROR(FemalePayGapsByOccupationalSeriesAndRacialEthnicGroup[[#This Row],[White Female Avg Salary]]/FemalePayGapsByOccupationalSeriesAndRacialEthnicGroup[[#This Row],[White Male Average Salary]],"")</f>
        <v>0.96532508800381778</v>
      </c>
      <c r="H307" s="10" t="str">
        <f>IFERROR(FemalePayGapsByOccupationalSeriesAndRacialEthnicGroup[[#This Row],[AIAN Female Employees]]/I$318,"")</f>
        <v/>
      </c>
      <c r="I307" t="s">
        <v>0</v>
      </c>
      <c r="J307" s="6" t="s">
        <v>0</v>
      </c>
      <c r="K307" s="52" t="str">
        <f>IFERROR(FemalePayGapsByOccupationalSeriesAndRacialEthnicGroup[[#This Row],[AIAN Female Avg Salary]]/FemalePayGapsByOccupationalSeriesAndRacialEthnicGroup[[#This Row],[White Male Average Salary]],"")</f>
        <v/>
      </c>
      <c r="L307" s="10" t="str">
        <f>IFERROR(FemalePayGapsByOccupationalSeriesAndRacialEthnicGroup[[#This Row],[ANHPI Female Employees]]/M$318,"")</f>
        <v/>
      </c>
      <c r="M307" s="8" t="s">
        <v>0</v>
      </c>
      <c r="N307" s="6" t="s">
        <v>0</v>
      </c>
      <c r="O307" s="52" t="str">
        <f>IFERROR(FemalePayGapsByOccupationalSeriesAndRacialEthnicGroup[[#This Row],[ANHPI Female Avg Salary]]/FemalePayGapsByOccupationalSeriesAndRacialEthnicGroup[[#This Row],[White Male Average Salary]],"")</f>
        <v/>
      </c>
      <c r="P307" s="10">
        <f>IFERROR(FemalePayGapsByOccupationalSeriesAndRacialEthnicGroup[[#This Row],[Black Female Employees]]/Q$318,"")</f>
        <v>7.9366965282893327E-4</v>
      </c>
      <c r="Q307" s="8">
        <v>167</v>
      </c>
      <c r="R307" s="6">
        <v>85637.137724550994</v>
      </c>
      <c r="S307" s="52">
        <f>IFERROR(FemalePayGapsByOccupationalSeriesAndRacialEthnicGroup[[#This Row],[Black Female Avg Salary]]/FemalePayGapsByOccupationalSeriesAndRacialEthnicGroup[[#This Row],[White Male Average Salary]],"")</f>
        <v>0.96809655614645951</v>
      </c>
      <c r="T307" s="10">
        <f>IFERROR(FemalePayGapsByOccupationalSeriesAndRacialEthnicGroup[[#This Row],[Hispanic Latino Female Employees]]/U$318,"")</f>
        <v>4.9991668055324114E-4</v>
      </c>
      <c r="U307" s="8">
        <v>39</v>
      </c>
      <c r="V307" s="6">
        <v>80367.205128204994</v>
      </c>
      <c r="W307" s="52">
        <f>IFERROR(FemalePayGapsByOccupationalSeriesAndRacialEthnicGroup[[#This Row],[Hispanic Latino Female Avg Salary]]/FemalePayGapsByOccupationalSeriesAndRacialEthnicGroup[[#This Row],[White Male Average Salary]],"")</f>
        <v>0.90852189341010892</v>
      </c>
      <c r="X307" s="10" t="str">
        <f>IFERROR(FemalePayGapsByOccupationalSeriesAndRacialEthnicGroup[[#This Row],[Other Female Employees]]/Y$318,"")</f>
        <v/>
      </c>
      <c r="Y307" s="8" t="s">
        <v>0</v>
      </c>
      <c r="Z307" s="6" t="s">
        <v>0</v>
      </c>
      <c r="AA307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08" spans="1:27" ht="15.6" x14ac:dyDescent="0.3">
      <c r="A308" s="45" t="s">
        <v>316</v>
      </c>
      <c r="B308" s="38">
        <v>63</v>
      </c>
      <c r="C308" s="39">
        <v>59675.015873015996</v>
      </c>
      <c r="D308" s="69">
        <f>IFERROR(FemalePayGapsByOccupationalSeriesAndRacialEthnicGroup[[#This Row],[White Female Employees]]/E$318,"")</f>
        <v>1.0076714465342673E-4</v>
      </c>
      <c r="E308" s="67">
        <v>46</v>
      </c>
      <c r="F308" s="64">
        <v>55606.608695652001</v>
      </c>
      <c r="G308" s="72">
        <f>IFERROR(FemalePayGapsByOccupationalSeriesAndRacialEthnicGroup[[#This Row],[White Female Avg Salary]]/FemalePayGapsByOccupationalSeriesAndRacialEthnicGroup[[#This Row],[White Male Average Salary]],"")</f>
        <v>0.93182394478082309</v>
      </c>
      <c r="H308" s="10" t="str">
        <f>IFERROR(FemalePayGapsByOccupationalSeriesAndRacialEthnicGroup[[#This Row],[AIAN Female Employees]]/I$318,"")</f>
        <v/>
      </c>
      <c r="I308" t="s">
        <v>0</v>
      </c>
      <c r="J308" s="6" t="s">
        <v>0</v>
      </c>
      <c r="K308" s="52" t="str">
        <f>IFERROR(FemalePayGapsByOccupationalSeriesAndRacialEthnicGroup[[#This Row],[AIAN Female Avg Salary]]/FemalePayGapsByOccupationalSeriesAndRacialEthnicGroup[[#This Row],[White Male Average Salary]],"")</f>
        <v/>
      </c>
      <c r="L308" s="10" t="str">
        <f>IFERROR(FemalePayGapsByOccupationalSeriesAndRacialEthnicGroup[[#This Row],[ANHPI Female Employees]]/M$318,"")</f>
        <v/>
      </c>
      <c r="M308" s="8" t="s">
        <v>0</v>
      </c>
      <c r="N308" s="6" t="s">
        <v>0</v>
      </c>
      <c r="O308" s="52" t="str">
        <f>IFERROR(FemalePayGapsByOccupationalSeriesAndRacialEthnicGroup[[#This Row],[ANHPI Female Avg Salary]]/FemalePayGapsByOccupationalSeriesAndRacialEthnicGroup[[#This Row],[White Male Average Salary]],"")</f>
        <v/>
      </c>
      <c r="P308" s="10" t="str">
        <f>IFERROR(FemalePayGapsByOccupationalSeriesAndRacialEthnicGroup[[#This Row],[Black Female Employees]]/Q$318,"")</f>
        <v/>
      </c>
      <c r="Q308" s="8" t="s">
        <v>0</v>
      </c>
      <c r="R308" s="6" t="s">
        <v>0</v>
      </c>
      <c r="S308" s="52" t="str">
        <f>IFERROR(FemalePayGapsByOccupationalSeriesAndRacialEthnicGroup[[#This Row],[Black Female Avg Salary]]/FemalePayGapsByOccupationalSeriesAndRacialEthnicGroup[[#This Row],[White Male Average Salary]],"")</f>
        <v/>
      </c>
      <c r="T308" s="10" t="str">
        <f>IFERROR(FemalePayGapsByOccupationalSeriesAndRacialEthnicGroup[[#This Row],[Hispanic Latino Female Employees]]/U$318,"")</f>
        <v/>
      </c>
      <c r="U308" s="8" t="s">
        <v>0</v>
      </c>
      <c r="V308" s="47" t="s">
        <v>0</v>
      </c>
      <c r="W308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08" s="10" t="str">
        <f>IFERROR(FemalePayGapsByOccupationalSeriesAndRacialEthnicGroup[[#This Row],[Other Female Employees]]/Y$318,"")</f>
        <v/>
      </c>
      <c r="Y308" s="8" t="s">
        <v>0</v>
      </c>
      <c r="Z308" s="6" t="s">
        <v>0</v>
      </c>
      <c r="AA308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09" spans="1:27" ht="15.6" x14ac:dyDescent="0.3">
      <c r="A309" s="46" t="s">
        <v>317</v>
      </c>
      <c r="B309" s="40">
        <v>1200</v>
      </c>
      <c r="C309" s="41">
        <v>91189.128547579006</v>
      </c>
      <c r="D309" s="70">
        <f>IFERROR(FemalePayGapsByOccupationalSeriesAndRacialEthnicGroup[[#This Row],[White Female Employees]]/E$318,"")</f>
        <v>4.7973923215435772E-4</v>
      </c>
      <c r="E309" s="16">
        <v>219</v>
      </c>
      <c r="F309" s="17">
        <v>86511.237442922007</v>
      </c>
      <c r="G309" s="18">
        <f>IFERROR(FemalePayGapsByOccupationalSeriesAndRacialEthnicGroup[[#This Row],[White Female Avg Salary]]/FemalePayGapsByOccupationalSeriesAndRacialEthnicGroup[[#This Row],[White Male Average Salary]],"")</f>
        <v>0.94870121933212403</v>
      </c>
      <c r="H309" s="10" t="str">
        <f>IFERROR(FemalePayGapsByOccupationalSeriesAndRacialEthnicGroup[[#This Row],[AIAN Female Employees]]/I$318,"")</f>
        <v/>
      </c>
      <c r="I309" t="s">
        <v>0</v>
      </c>
      <c r="J309" s="6" t="s">
        <v>0</v>
      </c>
      <c r="K309" s="52" t="str">
        <f>IFERROR(FemalePayGapsByOccupationalSeriesAndRacialEthnicGroup[[#This Row],[AIAN Female Avg Salary]]/FemalePayGapsByOccupationalSeriesAndRacialEthnicGroup[[#This Row],[White Male Average Salary]],"")</f>
        <v/>
      </c>
      <c r="L309" s="10" t="str">
        <f>IFERROR(FemalePayGapsByOccupationalSeriesAndRacialEthnicGroup[[#This Row],[ANHPI Female Employees]]/M$318,"")</f>
        <v/>
      </c>
      <c r="M309" s="8" t="s">
        <v>0</v>
      </c>
      <c r="N309" s="6" t="s">
        <v>0</v>
      </c>
      <c r="O309" s="52" t="str">
        <f>IFERROR(FemalePayGapsByOccupationalSeriesAndRacialEthnicGroup[[#This Row],[ANHPI Female Avg Salary]]/FemalePayGapsByOccupationalSeriesAndRacialEthnicGroup[[#This Row],[White Male Average Salary]],"")</f>
        <v/>
      </c>
      <c r="P309" s="10">
        <f>IFERROR(FemalePayGapsByOccupationalSeriesAndRacialEthnicGroup[[#This Row],[Black Female Employees]]/Q$318,"")</f>
        <v>3.0416082503623788E-4</v>
      </c>
      <c r="Q309" s="8">
        <v>64</v>
      </c>
      <c r="R309" s="6">
        <v>84544.171875</v>
      </c>
      <c r="S309" s="52">
        <f>IFERROR(FemalePayGapsByOccupationalSeriesAndRacialEthnicGroup[[#This Row],[Black Female Avg Salary]]/FemalePayGapsByOccupationalSeriesAndRacialEthnicGroup[[#This Row],[White Male Average Salary]],"")</f>
        <v>0.92712994653620451</v>
      </c>
      <c r="T309" s="10">
        <f>IFERROR(FemalePayGapsByOccupationalSeriesAndRacialEthnicGroup[[#This Row],[Hispanic Latino Female Employees]]/U$318,"")</f>
        <v>4.6146155127991487E-4</v>
      </c>
      <c r="U309" s="8">
        <v>36</v>
      </c>
      <c r="V309" s="6">
        <v>80900.638888889007</v>
      </c>
      <c r="W309" s="52">
        <f>IFERROR(FemalePayGapsByOccupationalSeriesAndRacialEthnicGroup[[#This Row],[Hispanic Latino Female Avg Salary]]/FemalePayGapsByOccupationalSeriesAndRacialEthnicGroup[[#This Row],[White Male Average Salary]],"")</f>
        <v>0.88717416404169436</v>
      </c>
      <c r="X309" s="10" t="str">
        <f>IFERROR(FemalePayGapsByOccupationalSeriesAndRacialEthnicGroup[[#This Row],[Other Female Employees]]/Y$318,"")</f>
        <v/>
      </c>
      <c r="Y309" s="8" t="s">
        <v>0</v>
      </c>
      <c r="Z309" s="6" t="s">
        <v>0</v>
      </c>
      <c r="AA309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10" spans="1:27" ht="15.6" x14ac:dyDescent="0.3">
      <c r="A310" s="45" t="s">
        <v>318</v>
      </c>
      <c r="B310" s="38">
        <v>506</v>
      </c>
      <c r="C310" s="39">
        <v>53935.806324110999</v>
      </c>
      <c r="D310" s="69">
        <f>IFERROR(FemalePayGapsByOccupationalSeriesAndRacialEthnicGroup[[#This Row],[White Female Employees]]/E$318,"")</f>
        <v>8.5213954935180441E-4</v>
      </c>
      <c r="E310" s="67">
        <v>389</v>
      </c>
      <c r="F310" s="64">
        <v>52509.246786632</v>
      </c>
      <c r="G310" s="72">
        <f>IFERROR(FemalePayGapsByOccupationalSeriesAndRacialEthnicGroup[[#This Row],[White Female Avg Salary]]/FemalePayGapsByOccupationalSeriesAndRacialEthnicGroup[[#This Row],[White Male Average Salary]],"")</f>
        <v>0.97355078871155609</v>
      </c>
      <c r="H310" s="10" t="str">
        <f>IFERROR(FemalePayGapsByOccupationalSeriesAndRacialEthnicGroup[[#This Row],[AIAN Female Employees]]/I$318,"")</f>
        <v/>
      </c>
      <c r="I310" t="s">
        <v>0</v>
      </c>
      <c r="J310" s="6" t="s">
        <v>0</v>
      </c>
      <c r="K310" s="52" t="str">
        <f>IFERROR(FemalePayGapsByOccupationalSeriesAndRacialEthnicGroup[[#This Row],[AIAN Female Avg Salary]]/FemalePayGapsByOccupationalSeriesAndRacialEthnicGroup[[#This Row],[White Male Average Salary]],"")</f>
        <v/>
      </c>
      <c r="L310" s="10" t="str">
        <f>IFERROR(FemalePayGapsByOccupationalSeriesAndRacialEthnicGroup[[#This Row],[ANHPI Female Employees]]/M$318,"")</f>
        <v/>
      </c>
      <c r="M310" s="8" t="s">
        <v>0</v>
      </c>
      <c r="N310" s="6" t="s">
        <v>0</v>
      </c>
      <c r="O310" s="52" t="str">
        <f>IFERROR(FemalePayGapsByOccupationalSeriesAndRacialEthnicGroup[[#This Row],[ANHPI Female Avg Salary]]/FemalePayGapsByOccupationalSeriesAndRacialEthnicGroup[[#This Row],[White Male Average Salary]],"")</f>
        <v/>
      </c>
      <c r="P310" s="10">
        <f>IFERROR(FemalePayGapsByOccupationalSeriesAndRacialEthnicGroup[[#This Row],[Black Female Employees]]/Q$318,"")</f>
        <v>5.0376636646626901E-4</v>
      </c>
      <c r="Q310" s="8">
        <v>106</v>
      </c>
      <c r="R310" s="6">
        <v>52297.179245282998</v>
      </c>
      <c r="S310" s="52">
        <f>IFERROR(FemalePayGapsByOccupationalSeriesAndRacialEthnicGroup[[#This Row],[Black Female Avg Salary]]/FemalePayGapsByOccupationalSeriesAndRacialEthnicGroup[[#This Row],[White Male Average Salary]],"")</f>
        <v>0.96961893794669229</v>
      </c>
      <c r="T310" s="10">
        <f>IFERROR(FemalePayGapsByOccupationalSeriesAndRacialEthnicGroup[[#This Row],[Hispanic Latino Female Employees]]/U$318,"")</f>
        <v>8.4601284401317732E-4</v>
      </c>
      <c r="U310" s="8">
        <v>66</v>
      </c>
      <c r="V310" s="6">
        <v>55382.818181818002</v>
      </c>
      <c r="W310" s="52">
        <f>IFERROR(FemalePayGapsByOccupationalSeriesAndRacialEthnicGroup[[#This Row],[Hispanic Latino Female Avg Salary]]/FemalePayGapsByOccupationalSeriesAndRacialEthnicGroup[[#This Row],[White Male Average Salary]],"")</f>
        <v>1.0268284087385589</v>
      </c>
      <c r="X310" s="10" t="str">
        <f>IFERROR(FemalePayGapsByOccupationalSeriesAndRacialEthnicGroup[[#This Row],[Other Female Employees]]/Y$318,"")</f>
        <v/>
      </c>
      <c r="Y310" s="8" t="s">
        <v>0</v>
      </c>
      <c r="Z310" s="6" t="s">
        <v>0</v>
      </c>
      <c r="AA310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11" spans="1:27" ht="15.6" x14ac:dyDescent="0.3">
      <c r="A311" s="46" t="s">
        <v>319</v>
      </c>
      <c r="B311" s="40">
        <v>12527</v>
      </c>
      <c r="C311" s="41">
        <v>137267.88605876701</v>
      </c>
      <c r="D311" s="70">
        <f>IFERROR(FemalePayGapsByOccupationalSeriesAndRacialEthnicGroup[[#This Row],[White Female Employees]]/E$318,"")</f>
        <v>4.8981594661970038E-3</v>
      </c>
      <c r="E311" s="16">
        <v>2236</v>
      </c>
      <c r="F311" s="17">
        <v>142798.28590603999</v>
      </c>
      <c r="G311" s="18">
        <f>IFERROR(FemalePayGapsByOccupationalSeriesAndRacialEthnicGroup[[#This Row],[White Female Avg Salary]]/FemalePayGapsByOccupationalSeriesAndRacialEthnicGroup[[#This Row],[White Male Average Salary]],"")</f>
        <v>1.0402891018872784</v>
      </c>
      <c r="H311" s="10" t="str">
        <f>IFERROR(FemalePayGapsByOccupationalSeriesAndRacialEthnicGroup[[#This Row],[AIAN Female Employees]]/I$318,"")</f>
        <v/>
      </c>
      <c r="I311" t="s">
        <v>0</v>
      </c>
      <c r="J311" s="6" t="s">
        <v>0</v>
      </c>
      <c r="K311" s="52" t="str">
        <f>IFERROR(FemalePayGapsByOccupationalSeriesAndRacialEthnicGroup[[#This Row],[AIAN Female Avg Salary]]/FemalePayGapsByOccupationalSeriesAndRacialEthnicGroup[[#This Row],[White Male Average Salary]],"")</f>
        <v/>
      </c>
      <c r="L311" s="10">
        <f>IFERROR(FemalePayGapsByOccupationalSeriesAndRacialEthnicGroup[[#This Row],[ANHPI Female Employees]]/M$318,"")</f>
        <v>1.9795807029849583E-3</v>
      </c>
      <c r="M311" s="8">
        <v>127</v>
      </c>
      <c r="N311" s="6">
        <v>132470.65354330701</v>
      </c>
      <c r="O311" s="52">
        <f>IFERROR(FemalePayGapsByOccupationalSeriesAndRacialEthnicGroup[[#This Row],[ANHPI Female Avg Salary]]/FemalePayGapsByOccupationalSeriesAndRacialEthnicGroup[[#This Row],[White Male Average Salary]],"")</f>
        <v>0.96505204055225113</v>
      </c>
      <c r="P311" s="10">
        <f>IFERROR(FemalePayGapsByOccupationalSeriesAndRacialEthnicGroup[[#This Row],[Black Female Employees]]/Q$318,"")</f>
        <v>1.3211985837511585E-3</v>
      </c>
      <c r="Q311" s="8">
        <v>278</v>
      </c>
      <c r="R311" s="6">
        <v>144576.60071942399</v>
      </c>
      <c r="S311" s="52">
        <f>IFERROR(FemalePayGapsByOccupationalSeriesAndRacialEthnicGroup[[#This Row],[Black Female Avg Salary]]/FemalePayGapsByOccupationalSeriesAndRacialEthnicGroup[[#This Row],[White Male Average Salary]],"")</f>
        <v>1.0532441699985675</v>
      </c>
      <c r="T311" s="10">
        <f>IFERROR(FemalePayGapsByOccupationalSeriesAndRacialEthnicGroup[[#This Row],[Hispanic Latino Female Employees]]/U$318,"")</f>
        <v>3.8967864330303925E-3</v>
      </c>
      <c r="U311" s="8">
        <v>304</v>
      </c>
      <c r="V311" s="6">
        <v>132879.16447368401</v>
      </c>
      <c r="W311" s="52">
        <f>IFERROR(FemalePayGapsByOccupationalSeriesAndRacialEthnicGroup[[#This Row],[Hispanic Latino Female Avg Salary]]/FemalePayGapsByOccupationalSeriesAndRacialEthnicGroup[[#This Row],[White Male Average Salary]],"")</f>
        <v>0.96802805294747452</v>
      </c>
      <c r="X311" s="10">
        <f>IFERROR(FemalePayGapsByOccupationalSeriesAndRacialEthnicGroup[[#This Row],[Other Female Employees]]/Y$318,"")</f>
        <v>6.0482731332315871E-3</v>
      </c>
      <c r="Y311" s="8">
        <v>107</v>
      </c>
      <c r="Z311" s="6">
        <v>124480.224299065</v>
      </c>
      <c r="AA311" s="1">
        <f>IFERROR(FemalePayGapsByOccupationalSeriesAndRacialEthnicGroup[[#This Row],[Other Female Avg Salary]]/FemalePayGapsByOccupationalSeriesAndRacialEthnicGroup[[#This Row],[White Male Average Salary]],"")</f>
        <v>0.90684156267819727</v>
      </c>
    </row>
    <row r="312" spans="1:27" ht="15.6" x14ac:dyDescent="0.3">
      <c r="A312" s="45" t="s">
        <v>320</v>
      </c>
      <c r="B312" s="38">
        <v>111</v>
      </c>
      <c r="C312" s="39">
        <v>69951.774774774996</v>
      </c>
      <c r="D312" s="69">
        <f>IFERROR(FemalePayGapsByOccupationalSeriesAndRacialEthnicGroup[[#This Row],[White Female Employees]]/E$318,"")</f>
        <v>5.2574162427874822E-5</v>
      </c>
      <c r="E312" s="67">
        <v>24</v>
      </c>
      <c r="F312" s="64">
        <v>76798.916666667006</v>
      </c>
      <c r="G312" s="72">
        <f>IFERROR(FemalePayGapsByOccupationalSeriesAndRacialEthnicGroup[[#This Row],[White Female Avg Salary]]/FemalePayGapsByOccupationalSeriesAndRacialEthnicGroup[[#This Row],[White Male Average Salary]],"")</f>
        <v>1.0978837479669084</v>
      </c>
      <c r="H312" s="10" t="str">
        <f>IFERROR(FemalePayGapsByOccupationalSeriesAndRacialEthnicGroup[[#This Row],[AIAN Female Employees]]/I$318,"")</f>
        <v/>
      </c>
      <c r="I312" t="s">
        <v>0</v>
      </c>
      <c r="J312" s="6" t="s">
        <v>0</v>
      </c>
      <c r="K312" s="52" t="str">
        <f>IFERROR(FemalePayGapsByOccupationalSeriesAndRacialEthnicGroup[[#This Row],[AIAN Female Avg Salary]]/FemalePayGapsByOccupationalSeriesAndRacialEthnicGroup[[#This Row],[White Male Average Salary]],"")</f>
        <v/>
      </c>
      <c r="L312" s="10" t="str">
        <f>IFERROR(FemalePayGapsByOccupationalSeriesAndRacialEthnicGroup[[#This Row],[ANHPI Female Employees]]/M$318,"")</f>
        <v/>
      </c>
      <c r="M312" s="8" t="s">
        <v>0</v>
      </c>
      <c r="N312" s="6" t="s">
        <v>0</v>
      </c>
      <c r="O312" s="52" t="str">
        <f>IFERROR(FemalePayGapsByOccupationalSeriesAndRacialEthnicGroup[[#This Row],[ANHPI Female Avg Salary]]/FemalePayGapsByOccupationalSeriesAndRacialEthnicGroup[[#This Row],[White Male Average Salary]],"")</f>
        <v/>
      </c>
      <c r="P312" s="10" t="str">
        <f>IFERROR(FemalePayGapsByOccupationalSeriesAndRacialEthnicGroup[[#This Row],[Black Female Employees]]/Q$318,"")</f>
        <v/>
      </c>
      <c r="Q312" s="8" t="s">
        <v>0</v>
      </c>
      <c r="R312" s="6" t="s">
        <v>0</v>
      </c>
      <c r="S312" s="52" t="str">
        <f>IFERROR(FemalePayGapsByOccupationalSeriesAndRacialEthnicGroup[[#This Row],[Black Female Avg Salary]]/FemalePayGapsByOccupationalSeriesAndRacialEthnicGroup[[#This Row],[White Male Average Salary]],"")</f>
        <v/>
      </c>
      <c r="T312" s="10" t="str">
        <f>IFERROR(FemalePayGapsByOccupationalSeriesAndRacialEthnicGroup[[#This Row],[Hispanic Latino Female Employees]]/U$318,"")</f>
        <v/>
      </c>
      <c r="U312" s="8" t="s">
        <v>0</v>
      </c>
      <c r="V312" s="47" t="s">
        <v>0</v>
      </c>
      <c r="W312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12" s="10" t="str">
        <f>IFERROR(FemalePayGapsByOccupationalSeriesAndRacialEthnicGroup[[#This Row],[Other Female Employees]]/Y$318,"")</f>
        <v/>
      </c>
      <c r="Y312" s="8" t="s">
        <v>0</v>
      </c>
      <c r="Z312" s="6" t="s">
        <v>0</v>
      </c>
      <c r="AA312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13" spans="1:27" ht="15.6" x14ac:dyDescent="0.3">
      <c r="A313" s="46" t="s">
        <v>321</v>
      </c>
      <c r="B313" s="40">
        <v>2121</v>
      </c>
      <c r="C313" s="41">
        <v>122849.40084985799</v>
      </c>
      <c r="D313" s="70">
        <f>IFERROR(FemalePayGapsByOccupationalSeriesAndRacialEthnicGroup[[#This Row],[White Female Employees]]/E$318,"")</f>
        <v>1.4457894667665576E-4</v>
      </c>
      <c r="E313" s="16">
        <v>66</v>
      </c>
      <c r="F313" s="17">
        <v>122494.651515152</v>
      </c>
      <c r="G313" s="18">
        <f>IFERROR(FemalePayGapsByOccupationalSeriesAndRacialEthnicGroup[[#This Row],[White Female Avg Salary]]/FemalePayGapsByOccupationalSeriesAndRacialEthnicGroup[[#This Row],[White Male Average Salary]],"")</f>
        <v>0.99711232344438083</v>
      </c>
      <c r="H313" s="10" t="str">
        <f>IFERROR(FemalePayGapsByOccupationalSeriesAndRacialEthnicGroup[[#This Row],[AIAN Female Employees]]/I$318,"")</f>
        <v/>
      </c>
      <c r="I313" t="s">
        <v>0</v>
      </c>
      <c r="J313" s="6" t="s">
        <v>0</v>
      </c>
      <c r="K313" s="52" t="str">
        <f>IFERROR(FemalePayGapsByOccupationalSeriesAndRacialEthnicGroup[[#This Row],[AIAN Female Avg Salary]]/FemalePayGapsByOccupationalSeriesAndRacialEthnicGroup[[#This Row],[White Male Average Salary]],"")</f>
        <v/>
      </c>
      <c r="L313" s="10" t="str">
        <f>IFERROR(FemalePayGapsByOccupationalSeriesAndRacialEthnicGroup[[#This Row],[ANHPI Female Employees]]/M$318,"")</f>
        <v/>
      </c>
      <c r="M313" s="8" t="s">
        <v>0</v>
      </c>
      <c r="N313" s="6" t="s">
        <v>0</v>
      </c>
      <c r="O313" s="52" t="str">
        <f>IFERROR(FemalePayGapsByOccupationalSeriesAndRacialEthnicGroup[[#This Row],[ANHPI Female Avg Salary]]/FemalePayGapsByOccupationalSeriesAndRacialEthnicGroup[[#This Row],[White Male Average Salary]],"")</f>
        <v/>
      </c>
      <c r="P313" s="10" t="str">
        <f>IFERROR(FemalePayGapsByOccupationalSeriesAndRacialEthnicGroup[[#This Row],[Black Female Employees]]/Q$318,"")</f>
        <v/>
      </c>
      <c r="Q313" s="8" t="s">
        <v>0</v>
      </c>
      <c r="R313" s="6" t="s">
        <v>0</v>
      </c>
      <c r="S313" s="52" t="str">
        <f>IFERROR(FemalePayGapsByOccupationalSeriesAndRacialEthnicGroup[[#This Row],[Black Female Avg Salary]]/FemalePayGapsByOccupationalSeriesAndRacialEthnicGroup[[#This Row],[White Male Average Salary]],"")</f>
        <v/>
      </c>
      <c r="T313" s="10">
        <f>IFERROR(FemalePayGapsByOccupationalSeriesAndRacialEthnicGroup[[#This Row],[Hispanic Latino Female Employees]]/U$318,"")</f>
        <v>1.2818376424442081E-5</v>
      </c>
      <c r="U313" s="8">
        <v>1</v>
      </c>
      <c r="V313" s="6">
        <v>74218</v>
      </c>
      <c r="W313" s="52">
        <f>IFERROR(FemalePayGapsByOccupationalSeriesAndRacialEthnicGroup[[#This Row],[Hispanic Latino Female Avg Salary]]/FemalePayGapsByOccupationalSeriesAndRacialEthnicGroup[[#This Row],[White Male Average Salary]],"")</f>
        <v>0.60413807056907431</v>
      </c>
      <c r="X313" s="10" t="str">
        <f>IFERROR(FemalePayGapsByOccupationalSeriesAndRacialEthnicGroup[[#This Row],[Other Female Employees]]/Y$318,"")</f>
        <v/>
      </c>
      <c r="Y313" s="8" t="s">
        <v>0</v>
      </c>
      <c r="Z313" s="6" t="s">
        <v>0</v>
      </c>
      <c r="AA313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14" spans="1:27" ht="15.6" x14ac:dyDescent="0.3">
      <c r="A314" s="45" t="s">
        <v>322</v>
      </c>
      <c r="B314" s="38">
        <v>336</v>
      </c>
      <c r="C314" s="39">
        <v>76464.830357143001</v>
      </c>
      <c r="D314" s="69">
        <f>IFERROR(FemalePayGapsByOccupationalSeriesAndRacialEthnicGroup[[#This Row],[White Female Employees]]/E$318,"")</f>
        <v>4.1621211922067568E-5</v>
      </c>
      <c r="E314" s="67">
        <v>19</v>
      </c>
      <c r="F314" s="64">
        <v>74624.052631579005</v>
      </c>
      <c r="G314" s="72">
        <f>IFERROR(FemalePayGapsByOccupationalSeriesAndRacialEthnicGroup[[#This Row],[White Female Avg Salary]]/FemalePayGapsByOccupationalSeriesAndRacialEthnicGroup[[#This Row],[White Male Average Salary]],"")</f>
        <v>0.97592647865736049</v>
      </c>
      <c r="H314" s="10" t="str">
        <f>IFERROR(FemalePayGapsByOccupationalSeriesAndRacialEthnicGroup[[#This Row],[AIAN Female Employees]]/I$318,"")</f>
        <v/>
      </c>
      <c r="I314" t="s">
        <v>0</v>
      </c>
      <c r="J314" s="6" t="s">
        <v>0</v>
      </c>
      <c r="K314" s="52" t="str">
        <f>IFERROR(FemalePayGapsByOccupationalSeriesAndRacialEthnicGroup[[#This Row],[AIAN Female Avg Salary]]/FemalePayGapsByOccupationalSeriesAndRacialEthnicGroup[[#This Row],[White Male Average Salary]],"")</f>
        <v/>
      </c>
      <c r="L314" s="10" t="str">
        <f>IFERROR(FemalePayGapsByOccupationalSeriesAndRacialEthnicGroup[[#This Row],[ANHPI Female Employees]]/M$318,"")</f>
        <v/>
      </c>
      <c r="M314" s="8" t="s">
        <v>0</v>
      </c>
      <c r="N314" s="6" t="s">
        <v>0</v>
      </c>
      <c r="O314" s="52" t="str">
        <f>IFERROR(FemalePayGapsByOccupationalSeriesAndRacialEthnicGroup[[#This Row],[ANHPI Female Avg Salary]]/FemalePayGapsByOccupationalSeriesAndRacialEthnicGroup[[#This Row],[White Male Average Salary]],"")</f>
        <v/>
      </c>
      <c r="P314" s="10" t="str">
        <f>IFERROR(FemalePayGapsByOccupationalSeriesAndRacialEthnicGroup[[#This Row],[Black Female Employees]]/Q$318,"")</f>
        <v/>
      </c>
      <c r="Q314" s="8" t="s">
        <v>0</v>
      </c>
      <c r="R314" s="6" t="s">
        <v>0</v>
      </c>
      <c r="S314" s="52" t="str">
        <f>IFERROR(FemalePayGapsByOccupationalSeriesAndRacialEthnicGroup[[#This Row],[Black Female Avg Salary]]/FemalePayGapsByOccupationalSeriesAndRacialEthnicGroup[[#This Row],[White Male Average Salary]],"")</f>
        <v/>
      </c>
      <c r="T314" s="10" t="str">
        <f>IFERROR(FemalePayGapsByOccupationalSeriesAndRacialEthnicGroup[[#This Row],[Hispanic Latino Female Employees]]/U$318,"")</f>
        <v/>
      </c>
      <c r="U314" s="8" t="s">
        <v>0</v>
      </c>
      <c r="V314" s="47" t="s">
        <v>0</v>
      </c>
      <c r="W314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14" s="10" t="str">
        <f>IFERROR(FemalePayGapsByOccupationalSeriesAndRacialEthnicGroup[[#This Row],[Other Female Employees]]/Y$318,"")</f>
        <v/>
      </c>
      <c r="Y314" s="8" t="s">
        <v>0</v>
      </c>
      <c r="Z314" s="6" t="s">
        <v>0</v>
      </c>
      <c r="AA314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15" spans="1:27" ht="15.6" x14ac:dyDescent="0.3">
      <c r="A315" s="46" t="s">
        <v>323</v>
      </c>
      <c r="B315" s="40">
        <v>423</v>
      </c>
      <c r="C315" s="41">
        <v>170893.10638297899</v>
      </c>
      <c r="D315" s="70">
        <f>IFERROR(FemalePayGapsByOccupationalSeriesAndRacialEthnicGroup[[#This Row],[White Female Employees]]/E$318,"")</f>
        <v>2.3439314082427523E-4</v>
      </c>
      <c r="E315" s="16">
        <v>107</v>
      </c>
      <c r="F315" s="17">
        <v>171162.97196261701</v>
      </c>
      <c r="G315" s="18">
        <f>IFERROR(FemalePayGapsByOccupationalSeriesAndRacialEthnicGroup[[#This Row],[White Female Avg Salary]]/FemalePayGapsByOccupationalSeriesAndRacialEthnicGroup[[#This Row],[White Male Average Salary]],"")</f>
        <v>1.0015791484241221</v>
      </c>
      <c r="H315" s="10" t="str">
        <f>IFERROR(FemalePayGapsByOccupationalSeriesAndRacialEthnicGroup[[#This Row],[AIAN Female Employees]]/I$318,"")</f>
        <v/>
      </c>
      <c r="I315" t="s">
        <v>0</v>
      </c>
      <c r="J315" s="6" t="s">
        <v>0</v>
      </c>
      <c r="K315" s="52" t="str">
        <f>IFERROR(FemalePayGapsByOccupationalSeriesAndRacialEthnicGroup[[#This Row],[AIAN Female Avg Salary]]/FemalePayGapsByOccupationalSeriesAndRacialEthnicGroup[[#This Row],[White Male Average Salary]],"")</f>
        <v/>
      </c>
      <c r="L315" s="10" t="str">
        <f>IFERROR(FemalePayGapsByOccupationalSeriesAndRacialEthnicGroup[[#This Row],[ANHPI Female Employees]]/M$318,"")</f>
        <v/>
      </c>
      <c r="M315" s="8" t="s">
        <v>0</v>
      </c>
      <c r="N315" s="6" t="s">
        <v>0</v>
      </c>
      <c r="O315" s="52" t="str">
        <f>IFERROR(FemalePayGapsByOccupationalSeriesAndRacialEthnicGroup[[#This Row],[ANHPI Female Avg Salary]]/FemalePayGapsByOccupationalSeriesAndRacialEthnicGroup[[#This Row],[White Male Average Salary]],"")</f>
        <v/>
      </c>
      <c r="P315" s="10" t="str">
        <f>IFERROR(FemalePayGapsByOccupationalSeriesAndRacialEthnicGroup[[#This Row],[Black Female Employees]]/Q$318,"")</f>
        <v/>
      </c>
      <c r="Q315" s="8" t="s">
        <v>0</v>
      </c>
      <c r="R315" s="6" t="s">
        <v>0</v>
      </c>
      <c r="S315" s="52" t="str">
        <f>IFERROR(FemalePayGapsByOccupationalSeriesAndRacialEthnicGroup[[#This Row],[Black Female Avg Salary]]/FemalePayGapsByOccupationalSeriesAndRacialEthnicGroup[[#This Row],[White Male Average Salary]],"")</f>
        <v/>
      </c>
      <c r="T315" s="10" t="str">
        <f>IFERROR(FemalePayGapsByOccupationalSeriesAndRacialEthnicGroup[[#This Row],[Hispanic Latino Female Employees]]/U$318,"")</f>
        <v/>
      </c>
      <c r="U315" s="8" t="s">
        <v>0</v>
      </c>
      <c r="V315" s="47" t="s">
        <v>0</v>
      </c>
      <c r="W315" s="52" t="str">
        <f>IFERROR(FemalePayGapsByOccupationalSeriesAndRacialEthnicGroup[[#This Row],[Hispanic Latino Female Avg Salary]]/FemalePayGapsByOccupationalSeriesAndRacialEthnicGroup[[#This Row],[White Male Average Salary]],"")</f>
        <v/>
      </c>
      <c r="X315" s="10" t="str">
        <f>IFERROR(FemalePayGapsByOccupationalSeriesAndRacialEthnicGroup[[#This Row],[Other Female Employees]]/Y$318,"")</f>
        <v/>
      </c>
      <c r="Y315" s="8" t="s">
        <v>0</v>
      </c>
      <c r="Z315" s="6" t="s">
        <v>0</v>
      </c>
      <c r="AA315" s="1" t="str">
        <f>IFERROR(FemalePayGapsByOccupationalSeriesAndRacialEthnicGroup[[#This Row],[Other Female Avg Salary]]/FemalePayGapsByOccupationalSeriesAndRacialEthnicGroup[[#This Row],[White Male Average Salary]],"")</f>
        <v/>
      </c>
    </row>
    <row r="316" spans="1:27" ht="15.6" x14ac:dyDescent="0.3">
      <c r="A316" s="45" t="s">
        <v>324</v>
      </c>
      <c r="B316" s="38">
        <v>41672</v>
      </c>
      <c r="C316" s="39">
        <v>115303.446856018</v>
      </c>
      <c r="D316" s="69">
        <f>IFERROR(FemalePayGapsByOccupationalSeriesAndRacialEthnicGroup[[#This Row],[White Female Employees]]/E$318,"")</f>
        <v>2.4924534171014989E-2</v>
      </c>
      <c r="E316" s="67">
        <v>11378</v>
      </c>
      <c r="F316" s="64">
        <v>118040.56219780201</v>
      </c>
      <c r="G316" s="72">
        <f>IFERROR(FemalePayGapsByOccupationalSeriesAndRacialEthnicGroup[[#This Row],[White Female Avg Salary]]/FemalePayGapsByOccupationalSeriesAndRacialEthnicGroup[[#This Row],[White Male Average Salary]],"")</f>
        <v>1.0237383652997114</v>
      </c>
      <c r="H316" s="10">
        <f>IFERROR(FemalePayGapsByOccupationalSeriesAndRacialEthnicGroup[[#This Row],[AIAN Female Employees]]/I$318,"")</f>
        <v>1.5319148936170212E-2</v>
      </c>
      <c r="I316">
        <v>252</v>
      </c>
      <c r="J316" s="6">
        <v>102288.25396825399</v>
      </c>
      <c r="K316" s="52">
        <f>IFERROR(FemalePayGapsByOccupationalSeriesAndRacialEthnicGroup[[#This Row],[AIAN Female Avg Salary]]/FemalePayGapsByOccupationalSeriesAndRacialEthnicGroup[[#This Row],[White Male Average Salary]],"")</f>
        <v>0.88712225659640198</v>
      </c>
      <c r="L316" s="10">
        <f>IFERROR(FemalePayGapsByOccupationalSeriesAndRacialEthnicGroup[[#This Row],[ANHPI Female Employees]]/M$318,"")</f>
        <v>4.6091497155326941E-2</v>
      </c>
      <c r="M316" s="8">
        <v>2957</v>
      </c>
      <c r="N316" s="6">
        <v>129209.395466847</v>
      </c>
      <c r="O316" s="52">
        <f>IFERROR(FemalePayGapsByOccupationalSeriesAndRacialEthnicGroup[[#This Row],[ANHPI Female Avg Salary]]/FemalePayGapsByOccupationalSeriesAndRacialEthnicGroup[[#This Row],[White Male Average Salary]],"")</f>
        <v>1.1206030607930886</v>
      </c>
      <c r="P316" s="10">
        <f>IFERROR(FemalePayGapsByOccupationalSeriesAndRacialEthnicGroup[[#This Row],[Black Female Employees]]/Q$318,"")</f>
        <v>2.9532115105862226E-2</v>
      </c>
      <c r="Q316" s="8">
        <v>6214</v>
      </c>
      <c r="R316" s="6">
        <v>120087.974726336</v>
      </c>
      <c r="S316" s="52">
        <f>IFERROR(FemalePayGapsByOccupationalSeriesAndRacialEthnicGroup[[#This Row],[Black Female Avg Salary]]/FemalePayGapsByOccupationalSeriesAndRacialEthnicGroup[[#This Row],[White Male Average Salary]],"")</f>
        <v>1.0414950983754419</v>
      </c>
      <c r="T316" s="10">
        <f>IFERROR(FemalePayGapsByOccupationalSeriesAndRacialEthnicGroup[[#This Row],[Hispanic Latino Female Employees]]/U$318,"")</f>
        <v>1.7176624408752388E-2</v>
      </c>
      <c r="U316" s="8">
        <v>1340</v>
      </c>
      <c r="V316" s="6">
        <v>112313.959701493</v>
      </c>
      <c r="W316" s="52">
        <f>IFERROR(FemalePayGapsByOccupationalSeriesAndRacialEthnicGroup[[#This Row],[Hispanic Latino Female Avg Salary]]/FemalePayGapsByOccupationalSeriesAndRacialEthnicGroup[[#This Row],[White Male Average Salary]],"")</f>
        <v>0.9740728726153518</v>
      </c>
      <c r="X316" s="10">
        <f>IFERROR(FemalePayGapsByOccupationalSeriesAndRacialEthnicGroup[[#This Row],[Other Female Employees]]/Y$318,"")</f>
        <v>3.555480187666045E-2</v>
      </c>
      <c r="Y316" s="8">
        <v>629</v>
      </c>
      <c r="Z316" s="6">
        <v>113150.10651828301</v>
      </c>
      <c r="AA316" s="1">
        <f>IFERROR(FemalePayGapsByOccupationalSeriesAndRacialEthnicGroup[[#This Row],[Other Female Avg Salary]]/FemalePayGapsByOccupationalSeriesAndRacialEthnicGroup[[#This Row],[White Male Average Salary]],"")</f>
        <v>0.98132457965091091</v>
      </c>
    </row>
    <row r="317" spans="1:27" ht="15.6" x14ac:dyDescent="0.3">
      <c r="A317" s="46" t="s">
        <v>7</v>
      </c>
      <c r="B317" s="40">
        <v>1609</v>
      </c>
      <c r="C317" s="41">
        <v>96867</v>
      </c>
      <c r="D317" s="70">
        <f>IFERROR(FemalePayGapsByOccupationalSeriesAndRacialEthnicGroup[[#This Row],[White Female Employees]]/E$318,"")</f>
        <v>2.7448093967552979E-3</v>
      </c>
      <c r="E317" s="16">
        <v>1253</v>
      </c>
      <c r="F317" s="17">
        <v>88896</v>
      </c>
      <c r="G317" s="18">
        <f>IFERROR(FemalePayGapsByOccupationalSeriesAndRacialEthnicGroup[[#This Row],[White Female Avg Salary]]/FemalePayGapsByOccupationalSeriesAndRacialEthnicGroup[[#This Row],[White Male Average Salary]],"")</f>
        <v>0.91771191427421106</v>
      </c>
      <c r="H317" s="10">
        <f>IFERROR(FemalePayGapsByOccupationalSeriesAndRacialEthnicGroup[[#This Row],[AIAN Female Employees]]/I$318,"")</f>
        <v>0.16382978723404254</v>
      </c>
      <c r="I317" s="8">
        <v>2695</v>
      </c>
      <c r="J317" s="6">
        <v>81203</v>
      </c>
      <c r="K317" s="52">
        <f>IFERROR(FemalePayGapsByOccupationalSeriesAndRacialEthnicGroup[[#This Row],[AIAN Female Avg Salary]]/FemalePayGapsByOccupationalSeriesAndRacialEthnicGroup[[#This Row],[White Male Average Salary]],"")</f>
        <v>0.83829374296716119</v>
      </c>
      <c r="L317" s="10">
        <f>IFERROR(FemalePayGapsByOccupationalSeriesAndRacialEthnicGroup[[#This Row],[ANHPI Female Employees]]/M$318,"")</f>
        <v>4.5171849427168578E-2</v>
      </c>
      <c r="M317" s="8">
        <v>2898</v>
      </c>
      <c r="N317" s="6">
        <v>96862</v>
      </c>
      <c r="O317" s="52">
        <f>IFERROR(FemalePayGapsByOccupationalSeriesAndRacialEthnicGroup[[#This Row],[ANHPI Female Avg Salary]]/FemalePayGapsByOccupationalSeriesAndRacialEthnicGroup[[#This Row],[White Male Average Salary]],"")</f>
        <v>0.99994838283419529</v>
      </c>
      <c r="P317" s="10">
        <f>IFERROR(FemalePayGapsByOccupationalSeriesAndRacialEthnicGroup[[#This Row],[Black Female Employees]]/Q$318,"")</f>
        <v>1.1657914122092055E-2</v>
      </c>
      <c r="Q317" s="8">
        <v>2453</v>
      </c>
      <c r="R317" s="6">
        <v>92303</v>
      </c>
      <c r="S317" s="52">
        <f>IFERROR(FemalePayGapsByOccupationalSeriesAndRacialEthnicGroup[[#This Row],[Black Female Avg Salary]]/FemalePayGapsByOccupationalSeriesAndRacialEthnicGroup[[#This Row],[White Male Average Salary]],"")</f>
        <v>0.95288385105350637</v>
      </c>
      <c r="T317" s="10">
        <f>IFERROR(FemalePayGapsByOccupationalSeriesAndRacialEthnicGroup[[#This Row],[Hispanic Latino Female Employees]]/U$318,"")</f>
        <v>3.7839847204953023E-2</v>
      </c>
      <c r="U317" s="8">
        <v>2952</v>
      </c>
      <c r="V317" s="6">
        <v>86176</v>
      </c>
      <c r="W317" s="52">
        <f>IFERROR(FemalePayGapsByOccupationalSeriesAndRacialEthnicGroup[[#This Row],[Hispanic Latino Female Avg Salary]]/FemalePayGapsByOccupationalSeriesAndRacialEthnicGroup[[#This Row],[White Male Average Salary]],"")</f>
        <v>0.88963217607647604</v>
      </c>
      <c r="X317" s="10">
        <f>IFERROR(FemalePayGapsByOccupationalSeriesAndRacialEthnicGroup[[#This Row],[Other Female Employees]]/Y$318,"")</f>
        <v>0.15923350856367643</v>
      </c>
      <c r="Y317" s="8">
        <v>2817</v>
      </c>
      <c r="Z317" s="6">
        <v>84189</v>
      </c>
      <c r="AA317" s="1">
        <f>IFERROR(FemalePayGapsByOccupationalSeriesAndRacialEthnicGroup[[#This Row],[Other Female Avg Salary]]/FemalePayGapsByOccupationalSeriesAndRacialEthnicGroup[[#This Row],[White Male Average Salary]],"")</f>
        <v>0.86911951438570412</v>
      </c>
    </row>
    <row r="318" spans="1:27" ht="15.6" x14ac:dyDescent="0.3">
      <c r="A318" s="45" t="s">
        <v>8</v>
      </c>
      <c r="B318" s="42">
        <f>SUM(B4:B317)</f>
        <v>625834</v>
      </c>
      <c r="C318" s="43"/>
      <c r="D318" s="71">
        <f>IFERROR(FemalePayGapsByOccupationalSeriesAndRacialEthnicGroup[[#This Row],[White Female Employees]]/E$318,"")</f>
        <v>1</v>
      </c>
      <c r="E318" s="68">
        <f>SUM(E4:E317)</f>
        <v>456498</v>
      </c>
      <c r="F318" s="65"/>
      <c r="G318" s="73" t="str">
        <f>IFERROR(FemalePayGapsByOccupationalSeriesAndRacialEthnicGroup[[#This Row],[White Female Avg Salary]]/FemalePayGapsByOccupationalSeriesAndRacialEthnicGroup[[#This Row],[White Male Average Salary]],"")</f>
        <v/>
      </c>
      <c r="H318" s="59">
        <f>IFERROR(FemalePayGapsByOccupationalSeriesAndRacialEthnicGroup[[#This Row],[AIAN Female Employees]]/I$318,"")</f>
        <v>1</v>
      </c>
      <c r="I318" s="53">
        <f>SUM(I4:I317)</f>
        <v>16450</v>
      </c>
      <c r="J318" s="54"/>
      <c r="K318" s="55" t="str">
        <f>IFERROR(FemalePayGapsByOccupationalSeriesAndRacialEthnicGroup[[#This Row],[AIAN Female Avg Salary]]/FemalePayGapsByOccupationalSeriesAndRacialEthnicGroup[[#This Row],[White Male Average Salary]],"")</f>
        <v/>
      </c>
      <c r="L318" s="56">
        <f>IFERROR(FemalePayGapsByOccupationalSeriesAndRacialEthnicGroup[[#This Row],[ANHPI Female Employees]]/M$318,"")</f>
        <v>1</v>
      </c>
      <c r="M318" s="53">
        <f>SUM(M4:M317)</f>
        <v>64155</v>
      </c>
      <c r="N318" s="57"/>
      <c r="O318" s="55" t="str">
        <f>IFERROR(FemalePayGapsByOccupationalSeriesAndRacialEthnicGroup[[#This Row],[ANHPI Female Avg Salary]]/FemalePayGapsByOccupationalSeriesAndRacialEthnicGroup[[#This Row],[White Male Average Salary]],"")</f>
        <v/>
      </c>
      <c r="P318" s="59">
        <f>IFERROR(FemalePayGapsByOccupationalSeriesAndRacialEthnicGroup[[#This Row],[Black Female Employees]]/Q$318,"")</f>
        <v>1</v>
      </c>
      <c r="Q318" s="53">
        <f>SUM(Q4:Q317)</f>
        <v>210415</v>
      </c>
      <c r="R318" s="57"/>
      <c r="S318" s="55" t="str">
        <f>IFERROR(FemalePayGapsByOccupationalSeriesAndRacialEthnicGroup[[#This Row],[Black Female Avg Salary]]/FemalePayGapsByOccupationalSeriesAndRacialEthnicGroup[[#This Row],[White Male Average Salary]],"")</f>
        <v/>
      </c>
      <c r="T318" s="60">
        <f>IFERROR(FemalePayGapsByOccupationalSeriesAndRacialEthnicGroup[[#This Row],[Hispanic Latino Female Employees]]/U$318,"")</f>
        <v>1</v>
      </c>
      <c r="U318" s="53">
        <f>SUM(U4:U317)</f>
        <v>78013</v>
      </c>
      <c r="V318" s="61"/>
      <c r="W318" s="62" t="str">
        <f>IFERROR(FemalePayGapsByOccupationalSeriesAndRacialEthnicGroup[[#This Row],[Hispanic Latino Female Avg Salary]]/FemalePayGapsByOccupationalSeriesAndRacialEthnicGroup[[#This Row],[White Male Average Salary]],"")</f>
        <v/>
      </c>
      <c r="X318" s="60">
        <f>IFERROR(FemalePayGapsByOccupationalSeriesAndRacialEthnicGroup[[#This Row],[Other Female Employees]]/Y$318,"")</f>
        <v>1</v>
      </c>
      <c r="Y318" s="53">
        <f>SUM(Y4:Y317)</f>
        <v>17691</v>
      </c>
      <c r="Z318" s="57"/>
      <c r="AA318" s="58" t="str">
        <f>IFERROR(FemalePayGapsByOccupationalSeriesAndRacialEthnicGroup[[#This Row],[Other Female Avg Salary]]/FemalePayGapsByOccupationalSeriesAndRacialEthnicGroup[[#This Row],[White Male Average Salary]],"")</f>
        <v/>
      </c>
    </row>
  </sheetData>
  <sheetProtection algorithmName="SHA-512" hashValue="eFfc1lcQ0XzH+5iEMcGiWFN/M31fNVztodRL2l+XYLwCQKpwOmiDfV4VmBVKuY2jMx7HncEEVvHPlScG9yntdA==" saltValue="WTlU77AILyg+qgLSfJzeZQ==" spinCount="100000" sheet="1" objects="1" scenarios="1" sort="0" autoFilter="0"/>
  <phoneticPr fontId="9" type="noConversion"/>
  <pageMargins left="0.7" right="0.7" top="0.75" bottom="0.75" header="0.3" footer="0.3"/>
  <pageSetup scale="69" orientation="landscape" r:id="rId1"/>
  <colBreaks count="3" manualBreakCount="3">
    <brk id="7" max="1048575" man="1"/>
    <brk id="15" max="1048575" man="1"/>
    <brk id="23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A6B5-2E3F-41C8-A73B-A94A748C5AB3}">
  <dimension ref="A1:G318"/>
  <sheetViews>
    <sheetView view="pageBreakPreview" zoomScale="60" zoomScaleNormal="100" workbookViewId="0">
      <selection activeCell="B318" sqref="B318"/>
    </sheetView>
  </sheetViews>
  <sheetFormatPr defaultRowHeight="14.4" x14ac:dyDescent="0.3"/>
  <cols>
    <col min="1" max="1" width="44.5546875" customWidth="1"/>
    <col min="2" max="2" width="18.44140625" bestFit="1" customWidth="1"/>
    <col min="3" max="3" width="17.33203125" bestFit="1" customWidth="1"/>
    <col min="4" max="4" width="18.88671875" bestFit="1" customWidth="1"/>
    <col min="5" max="5" width="18" bestFit="1" customWidth="1"/>
    <col min="6" max="6" width="20" bestFit="1" customWidth="1"/>
    <col min="7" max="7" width="18.44140625" bestFit="1" customWidth="1"/>
  </cols>
  <sheetData>
    <row r="1" spans="1:7" ht="21" x14ac:dyDescent="0.3">
      <c r="A1" s="2" t="s">
        <v>384</v>
      </c>
    </row>
    <row r="2" spans="1:7" ht="18.600000000000001" thickBot="1" x14ac:dyDescent="0.4">
      <c r="A2" s="3" t="s">
        <v>385</v>
      </c>
    </row>
    <row r="3" spans="1:7" ht="16.2" thickTop="1" x14ac:dyDescent="0.3">
      <c r="A3" s="4" t="s">
        <v>6</v>
      </c>
      <c r="B3" s="4" t="s">
        <v>9</v>
      </c>
      <c r="C3" s="30" t="s">
        <v>10</v>
      </c>
      <c r="D3" s="30" t="s">
        <v>11</v>
      </c>
      <c r="E3" s="30" t="s">
        <v>12</v>
      </c>
      <c r="F3" s="30" t="s">
        <v>13</v>
      </c>
      <c r="G3" s="30" t="s">
        <v>14</v>
      </c>
    </row>
    <row r="4" spans="1:7" ht="15.6" x14ac:dyDescent="0.3">
      <c r="A4" s="4" t="s">
        <v>15</v>
      </c>
      <c r="B4" s="4">
        <f>IFERROR(ROUND(FemalePayGapsByOccupationalSeriesAndRacialEthnicGroup[[#This Row],[White Female Occ Dist]]*FemalePayGapsByOccupationalSeriesAndRacialEthnicGroup[[#This Row],[White Female % White Male Avg Salary]],7),"")</f>
        <v>6.6589999999999998E-4</v>
      </c>
      <c r="C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4">
        <f>IFERROR(ROUND(FemalePayGapsByOccupationalSeriesAndRacialEthnicGroup[[#This Row],[Black Female Occ Dist]]*FemalePayGapsByOccupationalSeriesAndRacialEthnicGroup[[#This Row],[Black Female % White Male Avg Salary]],7),"")</f>
        <v>1.1272999999999999E-3</v>
      </c>
      <c r="F4">
        <f>IFERROR(ROUND(FemalePayGapsByOccupationalSeriesAndRacialEthnicGroup[[#This Row],[Hispanic - Latino Female Occ Dist]]*FemalePayGapsByOccupationalSeriesAndRacialEthnicGroup[[#This Row],[Hispanic Latino % White Female Avg Salary]],7),"")</f>
        <v>1.1358E-3</v>
      </c>
      <c r="G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5" spans="1:7" ht="15.6" x14ac:dyDescent="0.3">
      <c r="A5" s="4" t="s">
        <v>16</v>
      </c>
      <c r="B5" s="4">
        <f>IFERROR(ROUND(FemalePayGapsByOccupationalSeriesAndRacialEthnicGroup[[#This Row],[White Female Occ Dist]]*FemalePayGapsByOccupationalSeriesAndRacialEthnicGroup[[#This Row],[White Female % White Male Avg Salary]],7),"")</f>
        <v>2.1256999999999999E-3</v>
      </c>
      <c r="C5">
        <f>IFERROR(ROUND(FemalePayGapsByOccupationalSeriesAndRacialEthnicGroup[[#This Row],[AIAN Female Occ Dist]]*FemalePayGapsByOccupationalSeriesAndRacialEthnicGroup[[#This Row],[AIAN Female % White Male Avg Salary]],7),"")</f>
        <v>4.5262000000000002E-3</v>
      </c>
      <c r="D5">
        <f>IFERROR(ROUND(FemalePayGapsByOccupationalSeriesAndRacialEthnicGroup[[#This Row],[ANHPI Female Occ Dist]]*FemalePayGapsByOccupationalSeriesAndRacialEthnicGroup[[#This Row],[ANHPI Female % White Male Avg Salary]],7),"")</f>
        <v>4.6490000000000002E-4</v>
      </c>
      <c r="E5">
        <f>IFERROR(ROUND(FemalePayGapsByOccupationalSeriesAndRacialEthnicGroup[[#This Row],[Black Female Occ Dist]]*FemalePayGapsByOccupationalSeriesAndRacialEthnicGroup[[#This Row],[Black Female % White Male Avg Salary]],7),"")</f>
        <v>5.2538000000000003E-3</v>
      </c>
      <c r="F5">
        <f>IFERROR(ROUND(FemalePayGapsByOccupationalSeriesAndRacialEthnicGroup[[#This Row],[Hispanic - Latino Female Occ Dist]]*FemalePayGapsByOccupationalSeriesAndRacialEthnicGroup[[#This Row],[Hispanic Latino % White Female Avg Salary]],7),"")</f>
        <v>4.1156999999999999E-3</v>
      </c>
      <c r="G5">
        <f>IFERROR(ROUND(FemalePayGapsByOccupationalSeriesAndRacialEthnicGroup[[#This Row],[Other Female Occ Dist]]*FemalePayGapsByOccupationalSeriesAndRacialEthnicGroup[[#This Row],[Other Female % White Male Salary]],7),"")</f>
        <v>2.6045999999999999E-3</v>
      </c>
    </row>
    <row r="6" spans="1:7" ht="15.6" x14ac:dyDescent="0.3">
      <c r="A6" s="4" t="s">
        <v>17</v>
      </c>
      <c r="B6" s="4">
        <f>IFERROR(ROUND(FemalePayGapsByOccupationalSeriesAndRacialEthnicGroup[[#This Row],[White Female Occ Dist]]*FemalePayGapsByOccupationalSeriesAndRacialEthnicGroup[[#This Row],[White Female % White Male Avg Salary]],7),"")</f>
        <v>4.1699999999999997E-5</v>
      </c>
      <c r="C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7" spans="1:7" ht="31.2" x14ac:dyDescent="0.3">
      <c r="A7" s="4" t="s">
        <v>18</v>
      </c>
      <c r="B7" s="4">
        <f>IFERROR(ROUND(FemalePayGapsByOccupationalSeriesAndRacialEthnicGroup[[#This Row],[White Female Occ Dist]]*FemalePayGapsByOccupationalSeriesAndRacialEthnicGroup[[#This Row],[White Female % White Male Avg Salary]],7),"")</f>
        <v>1.6188999999999999E-3</v>
      </c>
      <c r="C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7">
        <f>IFERROR(ROUND(FemalePayGapsByOccupationalSeriesAndRacialEthnicGroup[[#This Row],[ANHPI Female Occ Dist]]*FemalePayGapsByOccupationalSeriesAndRacialEthnicGroup[[#This Row],[ANHPI Female % White Male Avg Salary]],7),"")</f>
        <v>1.0049E-3</v>
      </c>
      <c r="E7">
        <f>IFERROR(ROUND(FemalePayGapsByOccupationalSeriesAndRacialEthnicGroup[[#This Row],[Black Female Occ Dist]]*FemalePayGapsByOccupationalSeriesAndRacialEthnicGroup[[#This Row],[Black Female % White Male Avg Salary]],7),"")</f>
        <v>1.0194E-3</v>
      </c>
      <c r="F7">
        <f>IFERROR(ROUND(FemalePayGapsByOccupationalSeriesAndRacialEthnicGroup[[#This Row],[Hispanic - Latino Female Occ Dist]]*FemalePayGapsByOccupationalSeriesAndRacialEthnicGroup[[#This Row],[Hispanic Latino % White Female Avg Salary]],7),"")</f>
        <v>1.4086000000000001E-3</v>
      </c>
      <c r="G7">
        <f>IFERROR(ROUND(FemalePayGapsByOccupationalSeriesAndRacialEthnicGroup[[#This Row],[Other Female Occ Dist]]*FemalePayGapsByOccupationalSeriesAndRacialEthnicGroup[[#This Row],[Other Female % White Male Salary]],7),"")</f>
        <v>1.7309000000000001E-3</v>
      </c>
    </row>
    <row r="8" spans="1:7" ht="15.6" x14ac:dyDescent="0.3">
      <c r="A8" s="4" t="s">
        <v>19</v>
      </c>
      <c r="B8" s="4">
        <f>IFERROR(ROUND(FemalePayGapsByOccupationalSeriesAndRacialEthnicGroup[[#This Row],[White Female Occ Dist]]*FemalePayGapsByOccupationalSeriesAndRacialEthnicGroup[[#This Row],[White Female % White Male Avg Salary]],7),"")</f>
        <v>6.7509999999999998E-4</v>
      </c>
      <c r="C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8">
        <f>IFERROR(ROUND(FemalePayGapsByOccupationalSeriesAndRacialEthnicGroup[[#This Row],[Black Female Occ Dist]]*FemalePayGapsByOccupationalSeriesAndRacialEthnicGroup[[#This Row],[Black Female % White Male Avg Salary]],7),"")</f>
        <v>2.209E-4</v>
      </c>
      <c r="F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9" spans="1:7" ht="15.6" x14ac:dyDescent="0.3">
      <c r="A9" s="4" t="s">
        <v>20</v>
      </c>
      <c r="B9" s="4">
        <f>IFERROR(ROUND(FemalePayGapsByOccupationalSeriesAndRacialEthnicGroup[[#This Row],[White Female Occ Dist]]*FemalePayGapsByOccupationalSeriesAndRacialEthnicGroup[[#This Row],[White Female % White Male Avg Salary]],7),"")</f>
        <v>3.457E-4</v>
      </c>
      <c r="C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9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0" spans="1:7" ht="15.6" x14ac:dyDescent="0.3">
      <c r="A10" s="4" t="s">
        <v>21</v>
      </c>
      <c r="B10" s="4">
        <f>IFERROR(ROUND(FemalePayGapsByOccupationalSeriesAndRacialEthnicGroup[[#This Row],[White Female Occ Dist]]*FemalePayGapsByOccupationalSeriesAndRacialEthnicGroup[[#This Row],[White Female % White Male Avg Salary]],7),"")</f>
        <v>1.8682E-3</v>
      </c>
      <c r="C1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0">
        <f>IFERROR(ROUND(FemalePayGapsByOccupationalSeriesAndRacialEthnicGroup[[#This Row],[Black Female Occ Dist]]*FemalePayGapsByOccupationalSeriesAndRacialEthnicGroup[[#This Row],[Black Female % White Male Avg Salary]],7),"")</f>
        <v>2.854E-4</v>
      </c>
      <c r="F10">
        <f>IFERROR(ROUND(FemalePayGapsByOccupationalSeriesAndRacialEthnicGroup[[#This Row],[Hispanic - Latino Female Occ Dist]]*FemalePayGapsByOccupationalSeriesAndRacialEthnicGroup[[#This Row],[Hispanic Latino % White Female Avg Salary]],7),"")</f>
        <v>9.5929999999999995E-4</v>
      </c>
      <c r="G1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1" spans="1:7" ht="15.6" x14ac:dyDescent="0.3">
      <c r="A11" s="4" t="s">
        <v>22</v>
      </c>
      <c r="B11" s="4">
        <f>IFERROR(ROUND(FemalePayGapsByOccupationalSeriesAndRacialEthnicGroup[[#This Row],[White Female Occ Dist]]*FemalePayGapsByOccupationalSeriesAndRacialEthnicGroup[[#This Row],[White Female % White Male Avg Salary]],7),"")</f>
        <v>2.9447000000000002E-3</v>
      </c>
      <c r="C1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1">
        <f>IFERROR(ROUND(FemalePayGapsByOccupationalSeriesAndRacialEthnicGroup[[#This Row],[ANHPI Female Occ Dist]]*FemalePayGapsByOccupationalSeriesAndRacialEthnicGroup[[#This Row],[ANHPI Female % White Male Avg Salary]],7),"")</f>
        <v>1.6764E-3</v>
      </c>
      <c r="E11">
        <f>IFERROR(ROUND(FemalePayGapsByOccupationalSeriesAndRacialEthnicGroup[[#This Row],[Black Female Occ Dist]]*FemalePayGapsByOccupationalSeriesAndRacialEthnicGroup[[#This Row],[Black Female % White Male Avg Salary]],7),"")</f>
        <v>1.3923E-3</v>
      </c>
      <c r="F11">
        <f>IFERROR(ROUND(FemalePayGapsByOccupationalSeriesAndRacialEthnicGroup[[#This Row],[Hispanic - Latino Female Occ Dist]]*FemalePayGapsByOccupationalSeriesAndRacialEthnicGroup[[#This Row],[Hispanic Latino % White Female Avg Salary]],7),"")</f>
        <v>1.9886000000000001E-3</v>
      </c>
      <c r="G11">
        <f>IFERROR(ROUND(FemalePayGapsByOccupationalSeriesAndRacialEthnicGroup[[#This Row],[Other Female Occ Dist]]*FemalePayGapsByOccupationalSeriesAndRacialEthnicGroup[[#This Row],[Other Female % White Male Salary]],7),"")</f>
        <v>2.4402E-3</v>
      </c>
    </row>
    <row r="12" spans="1:7" ht="15.6" x14ac:dyDescent="0.3">
      <c r="A12" s="4" t="s">
        <v>23</v>
      </c>
      <c r="B12" s="4">
        <f>IFERROR(ROUND(FemalePayGapsByOccupationalSeriesAndRacialEthnicGroup[[#This Row],[White Female Occ Dist]]*FemalePayGapsByOccupationalSeriesAndRacialEthnicGroup[[#This Row],[White Female % White Male Avg Salary]],7),"")</f>
        <v>5.5300000000000002E-5</v>
      </c>
      <c r="C1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2">
        <f>IFERROR(ROUND(FemalePayGapsByOccupationalSeriesAndRacialEthnicGroup[[#This Row],[Black Female Occ Dist]]*FemalePayGapsByOccupationalSeriesAndRacialEthnicGroup[[#This Row],[Black Female % White Male Avg Salary]],7),"")</f>
        <v>6.6799999999999997E-5</v>
      </c>
      <c r="F1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3" spans="1:7" ht="15.6" x14ac:dyDescent="0.3">
      <c r="A13" s="4" t="s">
        <v>24</v>
      </c>
      <c r="B13" s="4">
        <f>IFERROR(ROUND(FemalePayGapsByOccupationalSeriesAndRacialEthnicGroup[[#This Row],[White Female Occ Dist]]*FemalePayGapsByOccupationalSeriesAndRacialEthnicGroup[[#This Row],[White Female % White Male Avg Salary]],7),"")</f>
        <v>1.7819999999999999E-4</v>
      </c>
      <c r="C1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3">
        <f>IFERROR(ROUND(FemalePayGapsByOccupationalSeriesAndRacialEthnicGroup[[#This Row],[Black Female Occ Dist]]*FemalePayGapsByOccupationalSeriesAndRacialEthnicGroup[[#This Row],[Black Female % White Male Avg Salary]],7),"")</f>
        <v>3.2430000000000002E-4</v>
      </c>
      <c r="F1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4" spans="1:7" ht="15.6" x14ac:dyDescent="0.3">
      <c r="A14" s="4" t="s">
        <v>25</v>
      </c>
      <c r="B14" s="4">
        <f>IFERROR(ROUND(FemalePayGapsByOccupationalSeriesAndRacialEthnicGroup[[#This Row],[White Female Occ Dist]]*FemalePayGapsByOccupationalSeriesAndRacialEthnicGroup[[#This Row],[White Female % White Male Avg Salary]],7),"")</f>
        <v>6.5053000000000003E-3</v>
      </c>
      <c r="C14">
        <f>IFERROR(ROUND(FemalePayGapsByOccupationalSeriesAndRacialEthnicGroup[[#This Row],[AIAN Female Occ Dist]]*FemalePayGapsByOccupationalSeriesAndRacialEthnicGroup[[#This Row],[AIAN Female % White Male Avg Salary]],7),"")</f>
        <v>4.1336999999999997E-3</v>
      </c>
      <c r="D14">
        <f>IFERROR(ROUND(FemalePayGapsByOccupationalSeriesAndRacialEthnicGroup[[#This Row],[ANHPI Female Occ Dist]]*FemalePayGapsByOccupationalSeriesAndRacialEthnicGroup[[#This Row],[ANHPI Female % White Male Avg Salary]],7),"")</f>
        <v>2.3176999999999998E-3</v>
      </c>
      <c r="E14">
        <f>IFERROR(ROUND(FemalePayGapsByOccupationalSeriesAndRacialEthnicGroup[[#This Row],[Black Female Occ Dist]]*FemalePayGapsByOccupationalSeriesAndRacialEthnicGroup[[#This Row],[Black Female % White Male Avg Salary]],7),"")</f>
        <v>9.0500000000000008E-3</v>
      </c>
      <c r="F14">
        <f>IFERROR(ROUND(FemalePayGapsByOccupationalSeriesAndRacialEthnicGroup[[#This Row],[Hispanic - Latino Female Occ Dist]]*FemalePayGapsByOccupationalSeriesAndRacialEthnicGroup[[#This Row],[Hispanic Latino % White Female Avg Salary]],7),"")</f>
        <v>4.9443999999999998E-3</v>
      </c>
      <c r="G14">
        <f>IFERROR(ROUND(FemalePayGapsByOccupationalSeriesAndRacialEthnicGroup[[#This Row],[Other Female Occ Dist]]*FemalePayGapsByOccupationalSeriesAndRacialEthnicGroup[[#This Row],[Other Female % White Male Salary]],7),"")</f>
        <v>9.7135999999999993E-3</v>
      </c>
    </row>
    <row r="15" spans="1:7" ht="15.6" x14ac:dyDescent="0.3">
      <c r="A15" s="4" t="s">
        <v>26</v>
      </c>
      <c r="B15" s="4">
        <f>IFERROR(ROUND(FemalePayGapsByOccupationalSeriesAndRacialEthnicGroup[[#This Row],[White Female Occ Dist]]*FemalePayGapsByOccupationalSeriesAndRacialEthnicGroup[[#This Row],[White Female % White Male Avg Salary]],7),"")</f>
        <v>3.9839999999999998E-4</v>
      </c>
      <c r="C1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5">
        <f>IFERROR(ROUND(FemalePayGapsByOccupationalSeriesAndRacialEthnicGroup[[#This Row],[ANHPI Female Occ Dist]]*FemalePayGapsByOccupationalSeriesAndRacialEthnicGroup[[#This Row],[ANHPI Female % White Male Avg Salary]],7),"")</f>
        <v>2.2469999999999999E-4</v>
      </c>
      <c r="E15">
        <f>IFERROR(ROUND(FemalePayGapsByOccupationalSeriesAndRacialEthnicGroup[[#This Row],[Black Female Occ Dist]]*FemalePayGapsByOccupationalSeriesAndRacialEthnicGroup[[#This Row],[Black Female % White Male Avg Salary]],7),"")</f>
        <v>4.7500000000000003E-5</v>
      </c>
      <c r="F15">
        <f>IFERROR(ROUND(FemalePayGapsByOccupationalSeriesAndRacialEthnicGroup[[#This Row],[Hispanic - Latino Female Occ Dist]]*FemalePayGapsByOccupationalSeriesAndRacialEthnicGroup[[#This Row],[Hispanic Latino % White Female Avg Salary]],7),"")</f>
        <v>3.3500000000000001E-4</v>
      </c>
      <c r="G15">
        <f>IFERROR(ROUND(FemalePayGapsByOccupationalSeriesAndRacialEthnicGroup[[#This Row],[Other Female Occ Dist]]*FemalePayGapsByOccupationalSeriesAndRacialEthnicGroup[[#This Row],[Other Female % White Male Salary]],7),"")</f>
        <v>8.0809999999999996E-4</v>
      </c>
    </row>
    <row r="16" spans="1:7" ht="15.6" x14ac:dyDescent="0.3">
      <c r="A16" s="4" t="s">
        <v>27</v>
      </c>
      <c r="B16" s="4">
        <f>IFERROR(ROUND(FemalePayGapsByOccupationalSeriesAndRacialEthnicGroup[[#This Row],[White Female Occ Dist]]*FemalePayGapsByOccupationalSeriesAndRacialEthnicGroup[[#This Row],[White Female % White Male Avg Salary]],7),"")</f>
        <v>6.2700000000000006E-5</v>
      </c>
      <c r="C1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7" spans="1:7" ht="15.6" x14ac:dyDescent="0.3">
      <c r="A17" s="4" t="s">
        <v>28</v>
      </c>
      <c r="B17" s="4">
        <f>IFERROR(ROUND(FemalePayGapsByOccupationalSeriesAndRacialEthnicGroup[[#This Row],[White Female Occ Dist]]*FemalePayGapsByOccupationalSeriesAndRacialEthnicGroup[[#This Row],[White Female % White Male Avg Salary]],7),"")</f>
        <v>1.1451E-3</v>
      </c>
      <c r="C17">
        <f>IFERROR(ROUND(FemalePayGapsByOccupationalSeriesAndRacialEthnicGroup[[#This Row],[AIAN Female Occ Dist]]*FemalePayGapsByOccupationalSeriesAndRacialEthnicGroup[[#This Row],[AIAN Female % White Male Avg Salary]],7),"")</f>
        <v>1.9185000000000001E-3</v>
      </c>
      <c r="D17">
        <f>IFERROR(ROUND(FemalePayGapsByOccupationalSeriesAndRacialEthnicGroup[[#This Row],[ANHPI Female Occ Dist]]*FemalePayGapsByOccupationalSeriesAndRacialEthnicGroup[[#This Row],[ANHPI Female % White Male Avg Salary]],7),"")</f>
        <v>4.3350000000000002E-4</v>
      </c>
      <c r="E17">
        <f>IFERROR(ROUND(FemalePayGapsByOccupationalSeriesAndRacialEthnicGroup[[#This Row],[Black Female Occ Dist]]*FemalePayGapsByOccupationalSeriesAndRacialEthnicGroup[[#This Row],[Black Female % White Male Avg Salary]],7),"")</f>
        <v>1.4851E-3</v>
      </c>
      <c r="F17">
        <f>IFERROR(ROUND(FemalePayGapsByOccupationalSeriesAndRacialEthnicGroup[[#This Row],[Hispanic - Latino Female Occ Dist]]*FemalePayGapsByOccupationalSeriesAndRacialEthnicGroup[[#This Row],[Hispanic Latino % White Female Avg Salary]],7),"")</f>
        <v>1.9004E-3</v>
      </c>
      <c r="G17">
        <f>IFERROR(ROUND(FemalePayGapsByOccupationalSeriesAndRacialEthnicGroup[[#This Row],[Other Female Occ Dist]]*FemalePayGapsByOccupationalSeriesAndRacialEthnicGroup[[#This Row],[Other Female % White Male Salary]],7),"")</f>
        <v>1.5808E-3</v>
      </c>
    </row>
    <row r="18" spans="1:7" ht="15.6" x14ac:dyDescent="0.3">
      <c r="A18" s="4" t="s">
        <v>29</v>
      </c>
      <c r="B18" s="4">
        <f>IFERROR(ROUND(FemalePayGapsByOccupationalSeriesAndRacialEthnicGroup[[#This Row],[White Female Occ Dist]]*FemalePayGapsByOccupationalSeriesAndRacialEthnicGroup[[#This Row],[White Female % White Male Avg Salary]],7),"")</f>
        <v>3.101E-4</v>
      </c>
      <c r="C18">
        <f>IFERROR(ROUND(FemalePayGapsByOccupationalSeriesAndRacialEthnicGroup[[#This Row],[AIAN Female Occ Dist]]*FemalePayGapsByOccupationalSeriesAndRacialEthnicGroup[[#This Row],[AIAN Female % White Male Avg Salary]],7),"")</f>
        <v>3.2147999999999999E-3</v>
      </c>
      <c r="D18">
        <f>IFERROR(ROUND(FemalePayGapsByOccupationalSeriesAndRacialEthnicGroup[[#This Row],[ANHPI Female Occ Dist]]*FemalePayGapsByOccupationalSeriesAndRacialEthnicGroup[[#This Row],[ANHPI Female % White Male Avg Salary]],7),"")</f>
        <v>1.5569999999999999E-4</v>
      </c>
      <c r="E18">
        <f>IFERROR(ROUND(FemalePayGapsByOccupationalSeriesAndRacialEthnicGroup[[#This Row],[Black Female Occ Dist]]*FemalePayGapsByOccupationalSeriesAndRacialEthnicGroup[[#This Row],[Black Female % White Male Avg Salary]],7),"")</f>
        <v>1.4065E-3</v>
      </c>
      <c r="F18">
        <f>IFERROR(ROUND(FemalePayGapsByOccupationalSeriesAndRacialEthnicGroup[[#This Row],[Hispanic - Latino Female Occ Dist]]*FemalePayGapsByOccupationalSeriesAndRacialEthnicGroup[[#This Row],[Hispanic Latino % White Female Avg Salary]],7),"")</f>
        <v>4.7090000000000001E-4</v>
      </c>
      <c r="G18">
        <f>IFERROR(ROUND(FemalePayGapsByOccupationalSeriesAndRacialEthnicGroup[[#This Row],[Other Female Occ Dist]]*FemalePayGapsByOccupationalSeriesAndRacialEthnicGroup[[#This Row],[Other Female % White Male Salary]],7),"")</f>
        <v>7.1069999999999998E-4</v>
      </c>
    </row>
    <row r="19" spans="1:7" ht="15.6" x14ac:dyDescent="0.3">
      <c r="A19" s="4" t="s">
        <v>30</v>
      </c>
      <c r="B19" s="4">
        <f>IFERROR(ROUND(FemalePayGapsByOccupationalSeriesAndRacialEthnicGroup[[#This Row],[White Female Occ Dist]]*FemalePayGapsByOccupationalSeriesAndRacialEthnicGroup[[#This Row],[White Female % White Male Avg Salary]],7),"")</f>
        <v>1.6798E-3</v>
      </c>
      <c r="C1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9">
        <f>IFERROR(ROUND(FemalePayGapsByOccupationalSeriesAndRacialEthnicGroup[[#This Row],[ANHPI Female Occ Dist]]*FemalePayGapsByOccupationalSeriesAndRacialEthnicGroup[[#This Row],[ANHPI Female % White Male Avg Salary]],7),"")</f>
        <v>1.6146999999999999E-3</v>
      </c>
      <c r="E19">
        <f>IFERROR(ROUND(FemalePayGapsByOccupationalSeriesAndRacialEthnicGroup[[#This Row],[Black Female Occ Dist]]*FemalePayGapsByOccupationalSeriesAndRacialEthnicGroup[[#This Row],[Black Female % White Male Avg Salary]],7),"")</f>
        <v>2.3251999999999999E-3</v>
      </c>
      <c r="F19">
        <f>IFERROR(ROUND(FemalePayGapsByOccupationalSeriesAndRacialEthnicGroup[[#This Row],[Hispanic - Latino Female Occ Dist]]*FemalePayGapsByOccupationalSeriesAndRacialEthnicGroup[[#This Row],[Hispanic Latino % White Female Avg Salary]],7),"")</f>
        <v>2.5317E-3</v>
      </c>
      <c r="G19">
        <f>IFERROR(ROUND(FemalePayGapsByOccupationalSeriesAndRacialEthnicGroup[[#This Row],[Other Female Occ Dist]]*FemalePayGapsByOccupationalSeriesAndRacialEthnicGroup[[#This Row],[Other Female % White Male Salary]],7),"")</f>
        <v>2.3961999999999998E-3</v>
      </c>
    </row>
    <row r="20" spans="1:7" ht="15.6" x14ac:dyDescent="0.3">
      <c r="A20" s="4" t="s">
        <v>31</v>
      </c>
      <c r="B20" s="4">
        <f>IFERROR(ROUND(FemalePayGapsByOccupationalSeriesAndRacialEthnicGroup[[#This Row],[White Female Occ Dist]]*FemalePayGapsByOccupationalSeriesAndRacialEthnicGroup[[#This Row],[White Female % White Male Avg Salary]],7),"")</f>
        <v>1.3022000000000001E-3</v>
      </c>
      <c r="C2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0">
        <f>IFERROR(ROUND(FemalePayGapsByOccupationalSeriesAndRacialEthnicGroup[[#This Row],[ANHPI Female Occ Dist]]*FemalePayGapsByOccupationalSeriesAndRacialEthnicGroup[[#This Row],[ANHPI Female % White Male Avg Salary]],7),"")</f>
        <v>6.0530000000000002E-4</v>
      </c>
      <c r="E20">
        <f>IFERROR(ROUND(FemalePayGapsByOccupationalSeriesAndRacialEthnicGroup[[#This Row],[Black Female Occ Dist]]*FemalePayGapsByOccupationalSeriesAndRacialEthnicGroup[[#This Row],[Black Female % White Male Avg Salary]],7),"")</f>
        <v>6.8740000000000001E-4</v>
      </c>
      <c r="F20">
        <f>IFERROR(ROUND(FemalePayGapsByOccupationalSeriesAndRacialEthnicGroup[[#This Row],[Hispanic - Latino Female Occ Dist]]*FemalePayGapsByOccupationalSeriesAndRacialEthnicGroup[[#This Row],[Hispanic Latino % White Female Avg Salary]],7),"")</f>
        <v>5.8560000000000003E-4</v>
      </c>
      <c r="G2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1" spans="1:7" ht="15.6" x14ac:dyDescent="0.3">
      <c r="A21" s="4" t="s">
        <v>32</v>
      </c>
      <c r="B21" s="4">
        <f>IFERROR(ROUND(FemalePayGapsByOccupationalSeriesAndRacialEthnicGroup[[#This Row],[White Female Occ Dist]]*FemalePayGapsByOccupationalSeriesAndRacialEthnicGroup[[#This Row],[White Female % White Male Avg Salary]],7),"")</f>
        <v>1.7990000000000001E-4</v>
      </c>
      <c r="C2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1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2" spans="1:7" ht="15.6" x14ac:dyDescent="0.3">
      <c r="A22" s="4" t="s">
        <v>33</v>
      </c>
      <c r="B22" s="4">
        <f>IFERROR(ROUND(FemalePayGapsByOccupationalSeriesAndRacialEthnicGroup[[#This Row],[White Female Occ Dist]]*FemalePayGapsByOccupationalSeriesAndRacialEthnicGroup[[#This Row],[White Female % White Male Avg Salary]],7),"")</f>
        <v>9.7397000000000004E-3</v>
      </c>
      <c r="C22">
        <f>IFERROR(ROUND(FemalePayGapsByOccupationalSeriesAndRacialEthnicGroup[[#This Row],[AIAN Female Occ Dist]]*FemalePayGapsByOccupationalSeriesAndRacialEthnicGroup[[#This Row],[AIAN Female % White Male Avg Salary]],7),"")</f>
        <v>7.9591000000000002E-3</v>
      </c>
      <c r="D22">
        <f>IFERROR(ROUND(FemalePayGapsByOccupationalSeriesAndRacialEthnicGroup[[#This Row],[ANHPI Female Occ Dist]]*FemalePayGapsByOccupationalSeriesAndRacialEthnicGroup[[#This Row],[ANHPI Female % White Male Avg Salary]],7),"")</f>
        <v>5.1983000000000003E-3</v>
      </c>
      <c r="E22">
        <f>IFERROR(ROUND(FemalePayGapsByOccupationalSeriesAndRacialEthnicGroup[[#This Row],[Black Female Occ Dist]]*FemalePayGapsByOccupationalSeriesAndRacialEthnicGroup[[#This Row],[Black Female % White Male Avg Salary]],7),"")</f>
        <v>1.3029000000000001E-2</v>
      </c>
      <c r="F22">
        <f>IFERROR(ROUND(FemalePayGapsByOccupationalSeriesAndRacialEthnicGroup[[#This Row],[Hispanic - Latino Female Occ Dist]]*FemalePayGapsByOccupationalSeriesAndRacialEthnicGroup[[#This Row],[Hispanic Latino % White Female Avg Salary]],7),"")</f>
        <v>7.6151999999999999E-3</v>
      </c>
      <c r="G22">
        <f>IFERROR(ROUND(FemalePayGapsByOccupationalSeriesAndRacialEthnicGroup[[#This Row],[Other Female Occ Dist]]*FemalePayGapsByOccupationalSeriesAndRacialEthnicGroup[[#This Row],[Other Female % White Male Salary]],7),"")</f>
        <v>8.7551999999999994E-3</v>
      </c>
    </row>
    <row r="23" spans="1:7" ht="15.6" x14ac:dyDescent="0.3">
      <c r="A23" s="4" t="s">
        <v>34</v>
      </c>
      <c r="B23" s="4">
        <f>IFERROR(ROUND(FemalePayGapsByOccupationalSeriesAndRacialEthnicGroup[[#This Row],[White Female Occ Dist]]*FemalePayGapsByOccupationalSeriesAndRacialEthnicGroup[[#This Row],[White Female % White Male Avg Salary]],7),"")</f>
        <v>2.8620000000000002E-4</v>
      </c>
      <c r="C2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3">
        <f>IFERROR(ROUND(FemalePayGapsByOccupationalSeriesAndRacialEthnicGroup[[#This Row],[Black Female Occ Dist]]*FemalePayGapsByOccupationalSeriesAndRacialEthnicGroup[[#This Row],[Black Female % White Male Avg Salary]],7),"")</f>
        <v>6.893E-4</v>
      </c>
      <c r="F2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4" spans="1:7" ht="15.6" x14ac:dyDescent="0.3">
      <c r="A24" s="4" t="s">
        <v>35</v>
      </c>
      <c r="B24" s="4">
        <f>IFERROR(ROUND(FemalePayGapsByOccupationalSeriesAndRacialEthnicGroup[[#This Row],[White Female Occ Dist]]*FemalePayGapsByOccupationalSeriesAndRacialEthnicGroup[[#This Row],[White Female % White Male Avg Salary]],7),"")</f>
        <v>1.50142E-2</v>
      </c>
      <c r="C24">
        <f>IFERROR(ROUND(FemalePayGapsByOccupationalSeriesAndRacialEthnicGroup[[#This Row],[AIAN Female Occ Dist]]*FemalePayGapsByOccupationalSeriesAndRacialEthnicGroup[[#This Row],[AIAN Female % White Male Avg Salary]],7),"")</f>
        <v>1.4276499999999999E-2</v>
      </c>
      <c r="D24">
        <f>IFERROR(ROUND(FemalePayGapsByOccupationalSeriesAndRacialEthnicGroup[[#This Row],[ANHPI Female Occ Dist]]*FemalePayGapsByOccupationalSeriesAndRacialEthnicGroup[[#This Row],[ANHPI Female % White Male Avg Salary]],7),"")</f>
        <v>2.10703E-2</v>
      </c>
      <c r="E24">
        <f>IFERROR(ROUND(FemalePayGapsByOccupationalSeriesAndRacialEthnicGroup[[#This Row],[Black Female Occ Dist]]*FemalePayGapsByOccupationalSeriesAndRacialEthnicGroup[[#This Row],[Black Female % White Male Avg Salary]],7),"")</f>
        <v>2.33978E-2</v>
      </c>
      <c r="F24">
        <f>IFERROR(ROUND(FemalePayGapsByOccupationalSeriesAndRacialEthnicGroup[[#This Row],[Hispanic - Latino Female Occ Dist]]*FemalePayGapsByOccupationalSeriesAndRacialEthnicGroup[[#This Row],[Hispanic Latino % White Female Avg Salary]],7),"")</f>
        <v>5.0450599999999998E-2</v>
      </c>
      <c r="G24">
        <f>IFERROR(ROUND(FemalePayGapsByOccupationalSeriesAndRacialEthnicGroup[[#This Row],[Other Female Occ Dist]]*FemalePayGapsByOccupationalSeriesAndRacialEthnicGroup[[#This Row],[Other Female % White Male Salary]],7),"")</f>
        <v>1.23993E-2</v>
      </c>
    </row>
    <row r="25" spans="1:7" ht="15.6" x14ac:dyDescent="0.3">
      <c r="A25" s="4" t="s">
        <v>36</v>
      </c>
      <c r="B25" s="4">
        <f>IFERROR(ROUND(FemalePayGapsByOccupationalSeriesAndRacialEthnicGroup[[#This Row],[White Female Occ Dist]]*FemalePayGapsByOccupationalSeriesAndRacialEthnicGroup[[#This Row],[White Female % White Male Avg Salary]],7),"")</f>
        <v>2.2682000000000002E-3</v>
      </c>
      <c r="C2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5">
        <f>IFERROR(ROUND(FemalePayGapsByOccupationalSeriesAndRacialEthnicGroup[[#This Row],[ANHPI Female Occ Dist]]*FemalePayGapsByOccupationalSeriesAndRacialEthnicGroup[[#This Row],[ANHPI Female % White Male Avg Salary]],7),"")</f>
        <v>2.3785E-3</v>
      </c>
      <c r="E25">
        <f>IFERROR(ROUND(FemalePayGapsByOccupationalSeriesAndRacialEthnicGroup[[#This Row],[Black Female Occ Dist]]*FemalePayGapsByOccupationalSeriesAndRacialEthnicGroup[[#This Row],[Black Female % White Male Avg Salary]],7),"")</f>
        <v>2.9133000000000002E-3</v>
      </c>
      <c r="F2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6" spans="1:7" ht="15.6" x14ac:dyDescent="0.3">
      <c r="A26" s="4" t="s">
        <v>37</v>
      </c>
      <c r="B26" s="4">
        <f>IFERROR(ROUND(FemalePayGapsByOccupationalSeriesAndRacialEthnicGroup[[#This Row],[White Female Occ Dist]]*FemalePayGapsByOccupationalSeriesAndRacialEthnicGroup[[#This Row],[White Female % White Male Avg Salary]],7),"")</f>
        <v>2.2602999999999998E-3</v>
      </c>
      <c r="C2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6">
        <f>IFERROR(ROUND(FemalePayGapsByOccupationalSeriesAndRacialEthnicGroup[[#This Row],[ANHPI Female Occ Dist]]*FemalePayGapsByOccupationalSeriesAndRacialEthnicGroup[[#This Row],[ANHPI Female % White Male Avg Salary]],7),"")</f>
        <v>4.0528999999999999E-3</v>
      </c>
      <c r="E26">
        <f>IFERROR(ROUND(FemalePayGapsByOccupationalSeriesAndRacialEthnicGroup[[#This Row],[Black Female Occ Dist]]*FemalePayGapsByOccupationalSeriesAndRacialEthnicGroup[[#This Row],[Black Female % White Male Avg Salary]],7),"")</f>
        <v>6.2049999999999996E-4</v>
      </c>
      <c r="F26">
        <f>IFERROR(ROUND(FemalePayGapsByOccupationalSeriesAndRacialEthnicGroup[[#This Row],[Hispanic - Latino Female Occ Dist]]*FemalePayGapsByOccupationalSeriesAndRacialEthnicGroup[[#This Row],[Hispanic Latino % White Female Avg Salary]],7),"")</f>
        <v>1.08E-3</v>
      </c>
      <c r="G2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7" spans="1:7" ht="15.6" x14ac:dyDescent="0.3">
      <c r="A27" s="4" t="s">
        <v>38</v>
      </c>
      <c r="B27" s="4">
        <f>IFERROR(ROUND(FemalePayGapsByOccupationalSeriesAndRacialEthnicGroup[[#This Row],[White Female Occ Dist]]*FemalePayGapsByOccupationalSeriesAndRacialEthnicGroup[[#This Row],[White Female % White Male Avg Salary]],7),"")</f>
        <v>2.1513999999999999E-3</v>
      </c>
      <c r="C2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7">
        <f>IFERROR(ROUND(FemalePayGapsByOccupationalSeriesAndRacialEthnicGroup[[#This Row],[ANHPI Female Occ Dist]]*FemalePayGapsByOccupationalSeriesAndRacialEthnicGroup[[#This Row],[ANHPI Female % White Male Avg Salary]],7),"")</f>
        <v>1.6746E-3</v>
      </c>
      <c r="E27">
        <f>IFERROR(ROUND(FemalePayGapsByOccupationalSeriesAndRacialEthnicGroup[[#This Row],[Black Female Occ Dist]]*FemalePayGapsByOccupationalSeriesAndRacialEthnicGroup[[#This Row],[Black Female % White Male Avg Salary]],7),"")</f>
        <v>4.4710000000000003E-4</v>
      </c>
      <c r="F27">
        <f>IFERROR(ROUND(FemalePayGapsByOccupationalSeriesAndRacialEthnicGroup[[#This Row],[Hispanic - Latino Female Occ Dist]]*FemalePayGapsByOccupationalSeriesAndRacialEthnicGroup[[#This Row],[Hispanic Latino % White Female Avg Salary]],7),"")</f>
        <v>8.7109999999999998E-4</v>
      </c>
      <c r="G2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8" spans="1:7" ht="15.6" x14ac:dyDescent="0.3">
      <c r="A28" s="4" t="s">
        <v>39</v>
      </c>
      <c r="B28" s="4">
        <f>IFERROR(ROUND(FemalePayGapsByOccupationalSeriesAndRacialEthnicGroup[[#This Row],[White Female Occ Dist]]*FemalePayGapsByOccupationalSeriesAndRacialEthnicGroup[[#This Row],[White Female % White Male Avg Salary]],7),"")</f>
        <v>2.766E-4</v>
      </c>
      <c r="C2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8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9" spans="1:7" ht="15.6" x14ac:dyDescent="0.3">
      <c r="A29" s="4" t="s">
        <v>40</v>
      </c>
      <c r="B29" s="4">
        <f>IFERROR(ROUND(FemalePayGapsByOccupationalSeriesAndRacialEthnicGroup[[#This Row],[White Female Occ Dist]]*FemalePayGapsByOccupationalSeriesAndRacialEthnicGroup[[#This Row],[White Female % White Male Avg Salary]],7),"")</f>
        <v>7.3978000000000004E-3</v>
      </c>
      <c r="C2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9">
        <f>IFERROR(ROUND(FemalePayGapsByOccupationalSeriesAndRacialEthnicGroup[[#This Row],[ANHPI Female Occ Dist]]*FemalePayGapsByOccupationalSeriesAndRacialEthnicGroup[[#This Row],[ANHPI Female % White Male Avg Salary]],7),"")</f>
        <v>3.0633000000000001E-3</v>
      </c>
      <c r="E29">
        <f>IFERROR(ROUND(FemalePayGapsByOccupationalSeriesAndRacialEthnicGroup[[#This Row],[Black Female Occ Dist]]*FemalePayGapsByOccupationalSeriesAndRacialEthnicGroup[[#This Row],[Black Female % White Male Avg Salary]],7),"")</f>
        <v>2.2661999999999999E-3</v>
      </c>
      <c r="F29">
        <f>IFERROR(ROUND(FemalePayGapsByOccupationalSeriesAndRacialEthnicGroup[[#This Row],[Hispanic - Latino Female Occ Dist]]*FemalePayGapsByOccupationalSeriesAndRacialEthnicGroup[[#This Row],[Hispanic Latino % White Female Avg Salary]],7),"")</f>
        <v>5.9208000000000004E-3</v>
      </c>
      <c r="G29">
        <f>IFERROR(ROUND(FemalePayGapsByOccupationalSeriesAndRacialEthnicGroup[[#This Row],[Other Female Occ Dist]]*FemalePayGapsByOccupationalSeriesAndRacialEthnicGroup[[#This Row],[Other Female % White Male Salary]],7),"")</f>
        <v>8.1992000000000002E-3</v>
      </c>
    </row>
    <row r="30" spans="1:7" ht="15.6" x14ac:dyDescent="0.3">
      <c r="A30" s="4" t="s">
        <v>41</v>
      </c>
      <c r="B30" s="4">
        <f>IFERROR(ROUND(FemalePayGapsByOccupationalSeriesAndRacialEthnicGroup[[#This Row],[White Female Occ Dist]]*FemalePayGapsByOccupationalSeriesAndRacialEthnicGroup[[#This Row],[White Female % White Male Avg Salary]],7),"")</f>
        <v>5.5449999999999998E-4</v>
      </c>
      <c r="C3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0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1" spans="1:7" ht="15.6" x14ac:dyDescent="0.3">
      <c r="A31" s="4" t="s">
        <v>42</v>
      </c>
      <c r="B31" s="4">
        <f>IFERROR(ROUND(FemalePayGapsByOccupationalSeriesAndRacialEthnicGroup[[#This Row],[White Female Occ Dist]]*FemalePayGapsByOccupationalSeriesAndRacialEthnicGroup[[#This Row],[White Female % White Male Avg Salary]],7),"")</f>
        <v>4.216E-4</v>
      </c>
      <c r="C3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1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2" spans="1:7" ht="15.6" x14ac:dyDescent="0.3">
      <c r="A32" s="4" t="s">
        <v>43</v>
      </c>
      <c r="B32" s="4">
        <f>IFERROR(ROUND(FemalePayGapsByOccupationalSeriesAndRacialEthnicGroup[[#This Row],[White Female Occ Dist]]*FemalePayGapsByOccupationalSeriesAndRacialEthnicGroup[[#This Row],[White Female % White Male Avg Salary]],7),"")</f>
        <v>8.9216E-3</v>
      </c>
      <c r="C3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2">
        <f>IFERROR(ROUND(FemalePayGapsByOccupationalSeriesAndRacialEthnicGroup[[#This Row],[ANHPI Female Occ Dist]]*FemalePayGapsByOccupationalSeriesAndRacialEthnicGroup[[#This Row],[ANHPI Female % White Male Avg Salary]],7),"")</f>
        <v>4.5405000000000003E-3</v>
      </c>
      <c r="E32">
        <f>IFERROR(ROUND(FemalePayGapsByOccupationalSeriesAndRacialEthnicGroup[[#This Row],[Black Female Occ Dist]]*FemalePayGapsByOccupationalSeriesAndRacialEthnicGroup[[#This Row],[Black Female % White Male Avg Salary]],7),"")</f>
        <v>2.0157999999999999E-3</v>
      </c>
      <c r="F32">
        <f>IFERROR(ROUND(FemalePayGapsByOccupationalSeriesAndRacialEthnicGroup[[#This Row],[Hispanic - Latino Female Occ Dist]]*FemalePayGapsByOccupationalSeriesAndRacialEthnicGroup[[#This Row],[Hispanic Latino % White Female Avg Salary]],7),"")</f>
        <v>3.6118999999999999E-3</v>
      </c>
      <c r="G32">
        <f>IFERROR(ROUND(FemalePayGapsByOccupationalSeriesAndRacialEthnicGroup[[#This Row],[Other Female Occ Dist]]*FemalePayGapsByOccupationalSeriesAndRacialEthnicGroup[[#This Row],[Other Female % White Male Salary]],7),"")</f>
        <v>5.0419000000000002E-3</v>
      </c>
    </row>
    <row r="33" spans="1:7" ht="15.6" x14ac:dyDescent="0.3">
      <c r="A33" s="4" t="s">
        <v>44</v>
      </c>
      <c r="B33" s="4">
        <f>IFERROR(ROUND(FemalePayGapsByOccupationalSeriesAndRacialEthnicGroup[[#This Row],[White Female Occ Dist]]*FemalePayGapsByOccupationalSeriesAndRacialEthnicGroup[[#This Row],[White Female % White Male Avg Salary]],7),"")</f>
        <v>4.4969999999999998E-4</v>
      </c>
      <c r="C3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3">
        <f>IFERROR(ROUND(FemalePayGapsByOccupationalSeriesAndRacialEthnicGroup[[#This Row],[Black Female Occ Dist]]*FemalePayGapsByOccupationalSeriesAndRacialEthnicGroup[[#This Row],[Black Female % White Male Avg Salary]],7),"")</f>
        <v>6.1600000000000001E-4</v>
      </c>
      <c r="F3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4" spans="1:7" ht="15.6" x14ac:dyDescent="0.3">
      <c r="A34" s="4" t="s">
        <v>45</v>
      </c>
      <c r="B34" s="4">
        <f>IFERROR(ROUND(FemalePayGapsByOccupationalSeriesAndRacialEthnicGroup[[#This Row],[White Female Occ Dist]]*FemalePayGapsByOccupationalSeriesAndRacialEthnicGroup[[#This Row],[White Female % White Male Avg Salary]],7),"")</f>
        <v>2.1634899999999999E-2</v>
      </c>
      <c r="C34">
        <f>IFERROR(ROUND(FemalePayGapsByOccupationalSeriesAndRacialEthnicGroup[[#This Row],[AIAN Female Occ Dist]]*FemalePayGapsByOccupationalSeriesAndRacialEthnicGroup[[#This Row],[AIAN Female % White Male Avg Salary]],7),"")</f>
        <v>1.39791E-2</v>
      </c>
      <c r="D34">
        <f>IFERROR(ROUND(FemalePayGapsByOccupationalSeriesAndRacialEthnicGroup[[#This Row],[ANHPI Female Occ Dist]]*FemalePayGapsByOccupationalSeriesAndRacialEthnicGroup[[#This Row],[ANHPI Female % White Male Avg Salary]],7),"")</f>
        <v>7.5456999999999998E-3</v>
      </c>
      <c r="E34">
        <f>IFERROR(ROUND(FemalePayGapsByOccupationalSeriesAndRacialEthnicGroup[[#This Row],[Black Female Occ Dist]]*FemalePayGapsByOccupationalSeriesAndRacialEthnicGroup[[#This Row],[Black Female % White Male Avg Salary]],7),"")</f>
        <v>1.50691E-2</v>
      </c>
      <c r="F34">
        <f>IFERROR(ROUND(FemalePayGapsByOccupationalSeriesAndRacialEthnicGroup[[#This Row],[Hispanic - Latino Female Occ Dist]]*FemalePayGapsByOccupationalSeriesAndRacialEthnicGroup[[#This Row],[Hispanic Latino % White Female Avg Salary]],7),"")</f>
        <v>1.19107E-2</v>
      </c>
      <c r="G34">
        <f>IFERROR(ROUND(FemalePayGapsByOccupationalSeriesAndRacialEthnicGroup[[#This Row],[Other Female Occ Dist]]*FemalePayGapsByOccupationalSeriesAndRacialEthnicGroup[[#This Row],[Other Female % White Male Salary]],7),"")</f>
        <v>1.31389E-2</v>
      </c>
    </row>
    <row r="35" spans="1:7" ht="15.6" x14ac:dyDescent="0.3">
      <c r="A35" s="4" t="s">
        <v>46</v>
      </c>
      <c r="B35" s="4">
        <f>IFERROR(ROUND(FemalePayGapsByOccupationalSeriesAndRacialEthnicGroup[[#This Row],[White Female Occ Dist]]*FemalePayGapsByOccupationalSeriesAndRacialEthnicGroup[[#This Row],[White Female % White Male Avg Salary]],7),"")</f>
        <v>6.2909999999999995E-4</v>
      </c>
      <c r="C3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5">
        <f>IFERROR(ROUND(FemalePayGapsByOccupationalSeriesAndRacialEthnicGroup[[#This Row],[Black Female Occ Dist]]*FemalePayGapsByOccupationalSeriesAndRacialEthnicGroup[[#This Row],[Black Female % White Male Avg Salary]],7),"")</f>
        <v>1.0551E-3</v>
      </c>
      <c r="F35">
        <f>IFERROR(ROUND(FemalePayGapsByOccupationalSeriesAndRacialEthnicGroup[[#This Row],[Hispanic - Latino Female Occ Dist]]*FemalePayGapsByOccupationalSeriesAndRacialEthnicGroup[[#This Row],[Hispanic Latino % White Female Avg Salary]],7),"")</f>
        <v>8.3370000000000004E-4</v>
      </c>
      <c r="G3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6" spans="1:7" ht="15.6" x14ac:dyDescent="0.3">
      <c r="A36" s="4" t="s">
        <v>47</v>
      </c>
      <c r="B36" s="4">
        <f>IFERROR(ROUND(FemalePayGapsByOccupationalSeriesAndRacialEthnicGroup[[#This Row],[White Female Occ Dist]]*FemalePayGapsByOccupationalSeriesAndRacialEthnicGroup[[#This Row],[White Female % White Male Avg Salary]],7),"")</f>
        <v>1.65E-4</v>
      </c>
      <c r="C3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7" spans="1:7" ht="15.6" x14ac:dyDescent="0.3">
      <c r="A37" s="4" t="s">
        <v>48</v>
      </c>
      <c r="B37" s="4">
        <f>IFERROR(ROUND(FemalePayGapsByOccupationalSeriesAndRacialEthnicGroup[[#This Row],[White Female Occ Dist]]*FemalePayGapsByOccupationalSeriesAndRacialEthnicGroup[[#This Row],[White Female % White Male Avg Salary]],7),"")</f>
        <v>2.4689999999999998E-4</v>
      </c>
      <c r="C3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7">
        <f>IFERROR(ROUND(FemalePayGapsByOccupationalSeriesAndRacialEthnicGroup[[#This Row],[Black Female Occ Dist]]*FemalePayGapsByOccupationalSeriesAndRacialEthnicGroup[[#This Row],[Black Female % White Male Avg Salary]],7),"")</f>
        <v>3.1970000000000002E-4</v>
      </c>
      <c r="F3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8" spans="1:7" ht="15.6" x14ac:dyDescent="0.3">
      <c r="A38" s="4" t="s">
        <v>49</v>
      </c>
      <c r="B38" s="4">
        <f>IFERROR(ROUND(FemalePayGapsByOccupationalSeriesAndRacialEthnicGroup[[#This Row],[White Female Occ Dist]]*FemalePayGapsByOccupationalSeriesAndRacialEthnicGroup[[#This Row],[White Female % White Male Avg Salary]],7),"")</f>
        <v>1.806E-4</v>
      </c>
      <c r="C3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8">
        <f>IFERROR(ROUND(FemalePayGapsByOccupationalSeriesAndRacialEthnicGroup[[#This Row],[Black Female Occ Dist]]*FemalePayGapsByOccupationalSeriesAndRacialEthnicGroup[[#This Row],[Black Female % White Male Avg Salary]],7),"")</f>
        <v>1.998E-4</v>
      </c>
      <c r="F3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9" spans="1:7" ht="15.6" x14ac:dyDescent="0.3">
      <c r="A39" s="4" t="s">
        <v>50</v>
      </c>
      <c r="B39" s="4">
        <f>IFERROR(ROUND(FemalePayGapsByOccupationalSeriesAndRacialEthnicGroup[[#This Row],[White Female Occ Dist]]*FemalePayGapsByOccupationalSeriesAndRacialEthnicGroup[[#This Row],[White Female % White Male Avg Salary]],7),"")</f>
        <v>1.1862999999999999E-3</v>
      </c>
      <c r="C3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9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40" spans="1:7" ht="15.6" x14ac:dyDescent="0.3">
      <c r="A40" s="4" t="s">
        <v>51</v>
      </c>
      <c r="B40" s="4">
        <f>IFERROR(ROUND(FemalePayGapsByOccupationalSeriesAndRacialEthnicGroup[[#This Row],[White Female Occ Dist]]*FemalePayGapsByOccupationalSeriesAndRacialEthnicGroup[[#This Row],[White Female % White Male Avg Salary]],7),"")</f>
        <v>2.39458E-2</v>
      </c>
      <c r="C40">
        <f>IFERROR(ROUND(FemalePayGapsByOccupationalSeriesAndRacialEthnicGroup[[#This Row],[AIAN Female Occ Dist]]*FemalePayGapsByOccupationalSeriesAndRacialEthnicGroup[[#This Row],[AIAN Female % White Male Avg Salary]],7),"")</f>
        <v>2.11544E-2</v>
      </c>
      <c r="D40">
        <f>IFERROR(ROUND(FemalePayGapsByOccupationalSeriesAndRacialEthnicGroup[[#This Row],[ANHPI Female Occ Dist]]*FemalePayGapsByOccupationalSeriesAndRacialEthnicGroup[[#This Row],[ANHPI Female % White Male Avg Salary]],7),"")</f>
        <v>1.51349E-2</v>
      </c>
      <c r="E40">
        <f>IFERROR(ROUND(FemalePayGapsByOccupationalSeriesAndRacialEthnicGroup[[#This Row],[Black Female Occ Dist]]*FemalePayGapsByOccupationalSeriesAndRacialEthnicGroup[[#This Row],[Black Female % White Male Avg Salary]],7),"")</f>
        <v>4.0583000000000001E-2</v>
      </c>
      <c r="F40">
        <f>IFERROR(ROUND(FemalePayGapsByOccupationalSeriesAndRacialEthnicGroup[[#This Row],[Hispanic - Latino Female Occ Dist]]*FemalePayGapsByOccupationalSeriesAndRacialEthnicGroup[[#This Row],[Hispanic Latino % White Female Avg Salary]],7),"")</f>
        <v>2.8128899999999998E-2</v>
      </c>
      <c r="G40">
        <f>IFERROR(ROUND(FemalePayGapsByOccupationalSeriesAndRacialEthnicGroup[[#This Row],[Other Female Occ Dist]]*FemalePayGapsByOccupationalSeriesAndRacialEthnicGroup[[#This Row],[Other Female % White Male Salary]],7),"")</f>
        <v>3.8440700000000001E-2</v>
      </c>
    </row>
    <row r="41" spans="1:7" ht="15.6" x14ac:dyDescent="0.3">
      <c r="A41" s="4" t="s">
        <v>52</v>
      </c>
      <c r="B41" s="4">
        <f>IFERROR(ROUND(FemalePayGapsByOccupationalSeriesAndRacialEthnicGroup[[#This Row],[White Female Occ Dist]]*FemalePayGapsByOccupationalSeriesAndRacialEthnicGroup[[#This Row],[White Female % White Male Avg Salary]],7),"")</f>
        <v>4.8135000000000001E-3</v>
      </c>
      <c r="C41">
        <f>IFERROR(ROUND(FemalePayGapsByOccupationalSeriesAndRacialEthnicGroup[[#This Row],[AIAN Female Occ Dist]]*FemalePayGapsByOccupationalSeriesAndRacialEthnicGroup[[#This Row],[AIAN Female % White Male Avg Salary]],7),"")</f>
        <v>7.0911000000000004E-3</v>
      </c>
      <c r="D41">
        <f>IFERROR(ROUND(FemalePayGapsByOccupationalSeriesAndRacialEthnicGroup[[#This Row],[ANHPI Female Occ Dist]]*FemalePayGapsByOccupationalSeriesAndRacialEthnicGroup[[#This Row],[ANHPI Female % White Male Avg Salary]],7),"")</f>
        <v>3.8649999999999999E-3</v>
      </c>
      <c r="E41">
        <f>IFERROR(ROUND(FemalePayGapsByOccupationalSeriesAndRacialEthnicGroup[[#This Row],[Black Female Occ Dist]]*FemalePayGapsByOccupationalSeriesAndRacialEthnicGroup[[#This Row],[Black Female % White Male Avg Salary]],7),"")</f>
        <v>8.2226E-3</v>
      </c>
      <c r="F41">
        <f>IFERROR(ROUND(FemalePayGapsByOccupationalSeriesAndRacialEthnicGroup[[#This Row],[Hispanic - Latino Female Occ Dist]]*FemalePayGapsByOccupationalSeriesAndRacialEthnicGroup[[#This Row],[Hispanic Latino % White Female Avg Salary]],7),"")</f>
        <v>6.9455999999999997E-3</v>
      </c>
      <c r="G41">
        <f>IFERROR(ROUND(FemalePayGapsByOccupationalSeriesAndRacialEthnicGroup[[#This Row],[Other Female Occ Dist]]*FemalePayGapsByOccupationalSeriesAndRacialEthnicGroup[[#This Row],[Other Female % White Male Salary]],7),"")</f>
        <v>8.5056999999999997E-3</v>
      </c>
    </row>
    <row r="42" spans="1:7" ht="15.6" x14ac:dyDescent="0.3">
      <c r="A42" s="4" t="s">
        <v>53</v>
      </c>
      <c r="B42" s="4">
        <f>IFERROR(ROUND(FemalePayGapsByOccupationalSeriesAndRacialEthnicGroup[[#This Row],[White Female Occ Dist]]*FemalePayGapsByOccupationalSeriesAndRacialEthnicGroup[[#This Row],[White Female % White Male Avg Salary]],7),"")</f>
        <v>7.1199999999999996E-5</v>
      </c>
      <c r="C4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4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42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4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4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43" spans="1:7" ht="31.2" x14ac:dyDescent="0.3">
      <c r="A43" s="4" t="s">
        <v>54</v>
      </c>
      <c r="B43" s="4">
        <f>IFERROR(ROUND(FemalePayGapsByOccupationalSeriesAndRacialEthnicGroup[[#This Row],[White Female Occ Dist]]*FemalePayGapsByOccupationalSeriesAndRacialEthnicGroup[[#This Row],[White Female % White Male Avg Salary]],7),"")</f>
        <v>1.939E-4</v>
      </c>
      <c r="C4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4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4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4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4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44" spans="1:7" ht="15.6" x14ac:dyDescent="0.3">
      <c r="A44" s="4" t="s">
        <v>55</v>
      </c>
      <c r="B44" s="4">
        <f>IFERROR(ROUND(FemalePayGapsByOccupationalSeriesAndRacialEthnicGroup[[#This Row],[White Female Occ Dist]]*FemalePayGapsByOccupationalSeriesAndRacialEthnicGroup[[#This Row],[White Female % White Male Avg Salary]],7),"")</f>
        <v>1.0088E-3</v>
      </c>
      <c r="C4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4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44">
        <f>IFERROR(ROUND(FemalePayGapsByOccupationalSeriesAndRacialEthnicGroup[[#This Row],[Black Female Occ Dist]]*FemalePayGapsByOccupationalSeriesAndRacialEthnicGroup[[#This Row],[Black Female % White Male Avg Salary]],7),"")</f>
        <v>5.0536000000000001E-3</v>
      </c>
      <c r="F44">
        <f>IFERROR(ROUND(FemalePayGapsByOccupationalSeriesAndRacialEthnicGroup[[#This Row],[Hispanic - Latino Female Occ Dist]]*FemalePayGapsByOccupationalSeriesAndRacialEthnicGroup[[#This Row],[Hispanic Latino % White Female Avg Salary]],7),"")</f>
        <v>2.0018000000000002E-3</v>
      </c>
      <c r="G44">
        <f>IFERROR(ROUND(FemalePayGapsByOccupationalSeriesAndRacialEthnicGroup[[#This Row],[Other Female Occ Dist]]*FemalePayGapsByOccupationalSeriesAndRacialEthnicGroup[[#This Row],[Other Female % White Male Salary]],7),"")</f>
        <v>5.4901000000000004E-3</v>
      </c>
    </row>
    <row r="45" spans="1:7" ht="31.2" x14ac:dyDescent="0.3">
      <c r="A45" s="4" t="s">
        <v>56</v>
      </c>
      <c r="B45" s="4">
        <f>IFERROR(ROUND(FemalePayGapsByOccupationalSeriesAndRacialEthnicGroup[[#This Row],[White Female Occ Dist]]*FemalePayGapsByOccupationalSeriesAndRacialEthnicGroup[[#This Row],[White Female % White Male Avg Salary]],7),"")</f>
        <v>5.1790799999999998E-2</v>
      </c>
      <c r="C45">
        <f>IFERROR(ROUND(FemalePayGapsByOccupationalSeriesAndRacialEthnicGroup[[#This Row],[AIAN Female Occ Dist]]*FemalePayGapsByOccupationalSeriesAndRacialEthnicGroup[[#This Row],[AIAN Female % White Male Avg Salary]],7),"")</f>
        <v>3.5274199999999999E-2</v>
      </c>
      <c r="D45">
        <f>IFERROR(ROUND(FemalePayGapsByOccupationalSeriesAndRacialEthnicGroup[[#This Row],[ANHPI Female Occ Dist]]*FemalePayGapsByOccupationalSeriesAndRacialEthnicGroup[[#This Row],[ANHPI Female % White Male Avg Salary]],7),"")</f>
        <v>3.5624500000000003E-2</v>
      </c>
      <c r="E45">
        <f>IFERROR(ROUND(FemalePayGapsByOccupationalSeriesAndRacialEthnicGroup[[#This Row],[Black Female Occ Dist]]*FemalePayGapsByOccupationalSeriesAndRacialEthnicGroup[[#This Row],[Black Female % White Male Avg Salary]],7),"")</f>
        <v>6.0211000000000001E-2</v>
      </c>
      <c r="F45">
        <f>IFERROR(ROUND(FemalePayGapsByOccupationalSeriesAndRacialEthnicGroup[[#This Row],[Hispanic - Latino Female Occ Dist]]*FemalePayGapsByOccupationalSeriesAndRacialEthnicGroup[[#This Row],[Hispanic Latino % White Female Avg Salary]],7),"")</f>
        <v>4.7734400000000003E-2</v>
      </c>
      <c r="G45">
        <f>IFERROR(ROUND(FemalePayGapsByOccupationalSeriesAndRacialEthnicGroup[[#This Row],[Other Female Occ Dist]]*FemalePayGapsByOccupationalSeriesAndRacialEthnicGroup[[#This Row],[Other Female % White Male Salary]],7),"")</f>
        <v>5.8996800000000002E-2</v>
      </c>
    </row>
    <row r="46" spans="1:7" ht="15.6" x14ac:dyDescent="0.3">
      <c r="A46" s="4" t="s">
        <v>57</v>
      </c>
      <c r="B46" s="4">
        <f>IFERROR(ROUND(FemalePayGapsByOccupationalSeriesAndRacialEthnicGroup[[#This Row],[White Female Occ Dist]]*FemalePayGapsByOccupationalSeriesAndRacialEthnicGroup[[#This Row],[White Female % White Male Avg Salary]],7),"")</f>
        <v>2.66044E-2</v>
      </c>
      <c r="C46">
        <f>IFERROR(ROUND(FemalePayGapsByOccupationalSeriesAndRacialEthnicGroup[[#This Row],[AIAN Female Occ Dist]]*FemalePayGapsByOccupationalSeriesAndRacialEthnicGroup[[#This Row],[AIAN Female % White Male Avg Salary]],7),"")</f>
        <v>4.3350800000000002E-2</v>
      </c>
      <c r="D46">
        <f>IFERROR(ROUND(FemalePayGapsByOccupationalSeriesAndRacialEthnicGroup[[#This Row],[ANHPI Female Occ Dist]]*FemalePayGapsByOccupationalSeriesAndRacialEthnicGroup[[#This Row],[ANHPI Female % White Male Avg Salary]],7),"")</f>
        <v>1.79916E-2</v>
      </c>
      <c r="E46">
        <f>IFERROR(ROUND(FemalePayGapsByOccupationalSeriesAndRacialEthnicGroup[[#This Row],[Black Female Occ Dist]]*FemalePayGapsByOccupationalSeriesAndRacialEthnicGroup[[#This Row],[Black Female % White Male Avg Salary]],7),"")</f>
        <v>3.3534399999999999E-2</v>
      </c>
      <c r="F46">
        <f>IFERROR(ROUND(FemalePayGapsByOccupationalSeriesAndRacialEthnicGroup[[#This Row],[Hispanic - Latino Female Occ Dist]]*FemalePayGapsByOccupationalSeriesAndRacialEthnicGroup[[#This Row],[Hispanic Latino % White Female Avg Salary]],7),"")</f>
        <v>3.3562300000000003E-2</v>
      </c>
      <c r="G46">
        <f>IFERROR(ROUND(FemalePayGapsByOccupationalSeriesAndRacialEthnicGroup[[#This Row],[Other Female Occ Dist]]*FemalePayGapsByOccupationalSeriesAndRacialEthnicGroup[[#This Row],[Other Female % White Male Salary]],7),"")</f>
        <v>3.1882199999999999E-2</v>
      </c>
    </row>
    <row r="47" spans="1:7" ht="15.6" x14ac:dyDescent="0.3">
      <c r="A47" s="4" t="s">
        <v>58</v>
      </c>
      <c r="B47" s="4">
        <f>IFERROR(ROUND(FemalePayGapsByOccupationalSeriesAndRacialEthnicGroup[[#This Row],[White Female Occ Dist]]*FemalePayGapsByOccupationalSeriesAndRacialEthnicGroup[[#This Row],[White Female % White Male Avg Salary]],7),"")</f>
        <v>2.0880000000000001E-4</v>
      </c>
      <c r="C4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4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47">
        <f>IFERROR(ROUND(FemalePayGapsByOccupationalSeriesAndRacialEthnicGroup[[#This Row],[Black Female Occ Dist]]*FemalePayGapsByOccupationalSeriesAndRacialEthnicGroup[[#This Row],[Black Female % White Male Avg Salary]],7),"")</f>
        <v>4.0119999999999999E-4</v>
      </c>
      <c r="F4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4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48" spans="1:7" ht="15.6" x14ac:dyDescent="0.3">
      <c r="A48" s="4" t="s">
        <v>59</v>
      </c>
      <c r="B48" s="4">
        <f>IFERROR(ROUND(FemalePayGapsByOccupationalSeriesAndRacialEthnicGroup[[#This Row],[White Female Occ Dist]]*FemalePayGapsByOccupationalSeriesAndRacialEthnicGroup[[#This Row],[White Female % White Male Avg Salary]],7),"")</f>
        <v>1.0591999999999999E-3</v>
      </c>
      <c r="C4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48">
        <f>IFERROR(ROUND(FemalePayGapsByOccupationalSeriesAndRacialEthnicGroup[[#This Row],[ANHPI Female Occ Dist]]*FemalePayGapsByOccupationalSeriesAndRacialEthnicGroup[[#This Row],[ANHPI Female % White Male Avg Salary]],7),"")</f>
        <v>6.4150000000000003E-4</v>
      </c>
      <c r="E48">
        <f>IFERROR(ROUND(FemalePayGapsByOccupationalSeriesAndRacialEthnicGroup[[#This Row],[Black Female Occ Dist]]*FemalePayGapsByOccupationalSeriesAndRacialEthnicGroup[[#This Row],[Black Female % White Male Avg Salary]],7),"")</f>
        <v>1.905E-3</v>
      </c>
      <c r="F48">
        <f>IFERROR(ROUND(FemalePayGapsByOccupationalSeriesAndRacialEthnicGroup[[#This Row],[Hispanic - Latino Female Occ Dist]]*FemalePayGapsByOccupationalSeriesAndRacialEthnicGroup[[#This Row],[Hispanic Latino % White Female Avg Salary]],7),"")</f>
        <v>9.6469999999999998E-4</v>
      </c>
      <c r="G4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49" spans="1:7" ht="15.6" x14ac:dyDescent="0.3">
      <c r="A49" s="4" t="s">
        <v>60</v>
      </c>
      <c r="B49" s="4">
        <f>IFERROR(ROUND(FemalePayGapsByOccupationalSeriesAndRacialEthnicGroup[[#This Row],[White Female Occ Dist]]*FemalePayGapsByOccupationalSeriesAndRacialEthnicGroup[[#This Row],[White Female % White Male Avg Salary]],7),"")</f>
        <v>1.7279999999999999E-3</v>
      </c>
      <c r="C4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4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49">
        <f>IFERROR(ROUND(FemalePayGapsByOccupationalSeriesAndRacialEthnicGroup[[#This Row],[Black Female Occ Dist]]*FemalePayGapsByOccupationalSeriesAndRacialEthnicGroup[[#This Row],[Black Female % White Male Avg Salary]],7),"")</f>
        <v>3.2177999999999998E-3</v>
      </c>
      <c r="F49">
        <f>IFERROR(ROUND(FemalePayGapsByOccupationalSeriesAndRacialEthnicGroup[[#This Row],[Hispanic - Latino Female Occ Dist]]*FemalePayGapsByOccupationalSeriesAndRacialEthnicGroup[[#This Row],[Hispanic Latino % White Female Avg Salary]],7),"")</f>
        <v>1.271E-3</v>
      </c>
      <c r="G4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50" spans="1:7" ht="15.6" x14ac:dyDescent="0.3">
      <c r="A50" s="4" t="s">
        <v>61</v>
      </c>
      <c r="B50" s="4">
        <f>IFERROR(ROUND(FemalePayGapsByOccupationalSeriesAndRacialEthnicGroup[[#This Row],[White Female Occ Dist]]*FemalePayGapsByOccupationalSeriesAndRacialEthnicGroup[[#This Row],[White Female % White Male Avg Salary]],7),"")</f>
        <v>6.401E-4</v>
      </c>
      <c r="C5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5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50">
        <f>IFERROR(ROUND(FemalePayGapsByOccupationalSeriesAndRacialEthnicGroup[[#This Row],[Black Female Occ Dist]]*FemalePayGapsByOccupationalSeriesAndRacialEthnicGroup[[#This Row],[Black Female % White Male Avg Salary]],7),"")</f>
        <v>1.3267000000000001E-3</v>
      </c>
      <c r="F5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5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51" spans="1:7" ht="15.6" x14ac:dyDescent="0.3">
      <c r="A51" s="4" t="s">
        <v>62</v>
      </c>
      <c r="B51" s="4">
        <f>IFERROR(ROUND(FemalePayGapsByOccupationalSeriesAndRacialEthnicGroup[[#This Row],[White Female Occ Dist]]*FemalePayGapsByOccupationalSeriesAndRacialEthnicGroup[[#This Row],[White Female % White Male Avg Salary]],7),"")</f>
        <v>9.0053000000000008E-3</v>
      </c>
      <c r="C51">
        <f>IFERROR(ROUND(FemalePayGapsByOccupationalSeriesAndRacialEthnicGroup[[#This Row],[AIAN Female Occ Dist]]*FemalePayGapsByOccupationalSeriesAndRacialEthnicGroup[[#This Row],[AIAN Female % White Male Avg Salary]],7),"")</f>
        <v>1.67537E-2</v>
      </c>
      <c r="D51">
        <f>IFERROR(ROUND(FemalePayGapsByOccupationalSeriesAndRacialEthnicGroup[[#This Row],[ANHPI Female Occ Dist]]*FemalePayGapsByOccupationalSeriesAndRacialEthnicGroup[[#This Row],[ANHPI Female % White Male Avg Salary]],7),"")</f>
        <v>6.1132000000000001E-3</v>
      </c>
      <c r="E51">
        <f>IFERROR(ROUND(FemalePayGapsByOccupationalSeriesAndRacialEthnicGroup[[#This Row],[Black Female Occ Dist]]*FemalePayGapsByOccupationalSeriesAndRacialEthnicGroup[[#This Row],[Black Female % White Male Avg Salary]],7),"")</f>
        <v>1.1731399999999999E-2</v>
      </c>
      <c r="F51">
        <f>IFERROR(ROUND(FemalePayGapsByOccupationalSeriesAndRacialEthnicGroup[[#This Row],[Hispanic - Latino Female Occ Dist]]*FemalePayGapsByOccupationalSeriesAndRacialEthnicGroup[[#This Row],[Hispanic Latino % White Female Avg Salary]],7),"")</f>
        <v>1.1007599999999999E-2</v>
      </c>
      <c r="G51">
        <f>IFERROR(ROUND(FemalePayGapsByOccupationalSeriesAndRacialEthnicGroup[[#This Row],[Other Female Occ Dist]]*FemalePayGapsByOccupationalSeriesAndRacialEthnicGroup[[#This Row],[Other Female % White Male Salary]],7),"")</f>
        <v>1.1758599999999999E-2</v>
      </c>
    </row>
    <row r="52" spans="1:7" ht="15.6" x14ac:dyDescent="0.3">
      <c r="A52" s="4" t="s">
        <v>63</v>
      </c>
      <c r="B52" s="4">
        <f>IFERROR(ROUND(FemalePayGapsByOccupationalSeriesAndRacialEthnicGroup[[#This Row],[White Female Occ Dist]]*FemalePayGapsByOccupationalSeriesAndRacialEthnicGroup[[#This Row],[White Female % White Male Avg Salary]],7),"")</f>
        <v>1.0467E-3</v>
      </c>
      <c r="C5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5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52">
        <f>IFERROR(ROUND(FemalePayGapsByOccupationalSeriesAndRacialEthnicGroup[[#This Row],[Black Female Occ Dist]]*FemalePayGapsByOccupationalSeriesAndRacialEthnicGroup[[#This Row],[Black Female % White Male Avg Salary]],7),"")</f>
        <v>1.4407000000000001E-3</v>
      </c>
      <c r="F52">
        <f>IFERROR(ROUND(FemalePayGapsByOccupationalSeriesAndRacialEthnicGroup[[#This Row],[Hispanic - Latino Female Occ Dist]]*FemalePayGapsByOccupationalSeriesAndRacialEthnicGroup[[#This Row],[Hispanic Latino % White Female Avg Salary]],7),"")</f>
        <v>1.4752000000000001E-3</v>
      </c>
      <c r="G5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53" spans="1:7" ht="15.6" x14ac:dyDescent="0.3">
      <c r="A53" s="4" t="s">
        <v>64</v>
      </c>
      <c r="B53" s="4">
        <f>IFERROR(ROUND(FemalePayGapsByOccupationalSeriesAndRacialEthnicGroup[[#This Row],[White Female Occ Dist]]*FemalePayGapsByOccupationalSeriesAndRacialEthnicGroup[[#This Row],[White Female % White Male Avg Salary]],7),"")</f>
        <v>4.2719999999999998E-4</v>
      </c>
      <c r="C5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5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53">
        <f>IFERROR(ROUND(FemalePayGapsByOccupationalSeriesAndRacialEthnicGroup[[#This Row],[Black Female Occ Dist]]*FemalePayGapsByOccupationalSeriesAndRacialEthnicGroup[[#This Row],[Black Female % White Male Avg Salary]],7),"")</f>
        <v>5.9239999999999998E-4</v>
      </c>
      <c r="F53">
        <f>IFERROR(ROUND(FemalePayGapsByOccupationalSeriesAndRacialEthnicGroup[[#This Row],[Hispanic - Latino Female Occ Dist]]*FemalePayGapsByOccupationalSeriesAndRacialEthnicGroup[[#This Row],[Hispanic Latino % White Female Avg Salary]],7),"")</f>
        <v>4.4710000000000003E-4</v>
      </c>
      <c r="G5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54" spans="1:7" ht="15.6" x14ac:dyDescent="0.3">
      <c r="A54" s="4" t="s">
        <v>65</v>
      </c>
      <c r="B54" s="4">
        <f>IFERROR(ROUND(FemalePayGapsByOccupationalSeriesAndRacialEthnicGroup[[#This Row],[White Female Occ Dist]]*FemalePayGapsByOccupationalSeriesAndRacialEthnicGroup[[#This Row],[White Female % White Male Avg Salary]],7),"")</f>
        <v>9.4354E-3</v>
      </c>
      <c r="C54">
        <f>IFERROR(ROUND(FemalePayGapsByOccupationalSeriesAndRacialEthnicGroup[[#This Row],[AIAN Female Occ Dist]]*FemalePayGapsByOccupationalSeriesAndRacialEthnicGroup[[#This Row],[AIAN Female % White Male Avg Salary]],7),"")</f>
        <v>6.6750999999999998E-3</v>
      </c>
      <c r="D54">
        <f>IFERROR(ROUND(FemalePayGapsByOccupationalSeriesAndRacialEthnicGroup[[#This Row],[ANHPI Female Occ Dist]]*FemalePayGapsByOccupationalSeriesAndRacialEthnicGroup[[#This Row],[ANHPI Female % White Male Avg Salary]],7),"")</f>
        <v>5.0065999999999999E-3</v>
      </c>
      <c r="E54">
        <f>IFERROR(ROUND(FemalePayGapsByOccupationalSeriesAndRacialEthnicGroup[[#This Row],[Black Female Occ Dist]]*FemalePayGapsByOccupationalSeriesAndRacialEthnicGroup[[#This Row],[Black Female % White Male Avg Salary]],7),"")</f>
        <v>5.5818999999999999E-3</v>
      </c>
      <c r="F54">
        <f>IFERROR(ROUND(FemalePayGapsByOccupationalSeriesAndRacialEthnicGroup[[#This Row],[Hispanic - Latino Female Occ Dist]]*FemalePayGapsByOccupationalSeriesAndRacialEthnicGroup[[#This Row],[Hispanic Latino % White Female Avg Salary]],7),"")</f>
        <v>4.9350000000000002E-3</v>
      </c>
      <c r="G54">
        <f>IFERROR(ROUND(FemalePayGapsByOccupationalSeriesAndRacialEthnicGroup[[#This Row],[Other Female Occ Dist]]*FemalePayGapsByOccupationalSeriesAndRacialEthnicGroup[[#This Row],[Other Female % White Male Salary]],7),"")</f>
        <v>8.8450000000000004E-3</v>
      </c>
    </row>
    <row r="55" spans="1:7" ht="15.6" x14ac:dyDescent="0.3">
      <c r="A55" s="4" t="s">
        <v>66</v>
      </c>
      <c r="B55" s="4">
        <f>IFERROR(ROUND(FemalePayGapsByOccupationalSeriesAndRacialEthnicGroup[[#This Row],[White Female Occ Dist]]*FemalePayGapsByOccupationalSeriesAndRacialEthnicGroup[[#This Row],[White Female % White Male Avg Salary]],7),"")</f>
        <v>7.1688999999999998E-3</v>
      </c>
      <c r="C55">
        <f>IFERROR(ROUND(FemalePayGapsByOccupationalSeriesAndRacialEthnicGroup[[#This Row],[AIAN Female Occ Dist]]*FemalePayGapsByOccupationalSeriesAndRacialEthnicGroup[[#This Row],[AIAN Female % White Male Avg Salary]],7),"")</f>
        <v>6.7647999999999996E-3</v>
      </c>
      <c r="D55">
        <f>IFERROR(ROUND(FemalePayGapsByOccupationalSeriesAndRacialEthnicGroup[[#This Row],[ANHPI Female Occ Dist]]*FemalePayGapsByOccupationalSeriesAndRacialEthnicGroup[[#This Row],[ANHPI Female % White Male Avg Salary]],7),"")</f>
        <v>4.5056999999999996E-3</v>
      </c>
      <c r="E55">
        <f>IFERROR(ROUND(FemalePayGapsByOccupationalSeriesAndRacialEthnicGroup[[#This Row],[Black Female Occ Dist]]*FemalePayGapsByOccupationalSeriesAndRacialEthnicGroup[[#This Row],[Black Female % White Male Avg Salary]],7),"")</f>
        <v>9.0626999999999999E-3</v>
      </c>
      <c r="F55">
        <f>IFERROR(ROUND(FemalePayGapsByOccupationalSeriesAndRacialEthnicGroup[[#This Row],[Hispanic - Latino Female Occ Dist]]*FemalePayGapsByOccupationalSeriesAndRacialEthnicGroup[[#This Row],[Hispanic Latino % White Female Avg Salary]],7),"")</f>
        <v>6.9605999999999999E-3</v>
      </c>
      <c r="G55">
        <f>IFERROR(ROUND(FemalePayGapsByOccupationalSeriesAndRacialEthnicGroup[[#This Row],[Other Female Occ Dist]]*FemalePayGapsByOccupationalSeriesAndRacialEthnicGroup[[#This Row],[Other Female % White Male Salary]],7),"")</f>
        <v>7.0812000000000002E-3</v>
      </c>
    </row>
    <row r="56" spans="1:7" ht="15.6" x14ac:dyDescent="0.3">
      <c r="A56" s="4" t="s">
        <v>67</v>
      </c>
      <c r="B56" s="4">
        <f>IFERROR(ROUND(FemalePayGapsByOccupationalSeriesAndRacialEthnicGroup[[#This Row],[White Female Occ Dist]]*FemalePayGapsByOccupationalSeriesAndRacialEthnicGroup[[#This Row],[White Female % White Male Avg Salary]],7),"")</f>
        <v>1.1173999999999999E-3</v>
      </c>
      <c r="C5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5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56">
        <f>IFERROR(ROUND(FemalePayGapsByOccupationalSeriesAndRacialEthnicGroup[[#This Row],[Black Female Occ Dist]]*FemalePayGapsByOccupationalSeriesAndRacialEthnicGroup[[#This Row],[Black Female % White Male Avg Salary]],7),"")</f>
        <v>1.7546E-3</v>
      </c>
      <c r="F56">
        <f>IFERROR(ROUND(FemalePayGapsByOccupationalSeriesAndRacialEthnicGroup[[#This Row],[Hispanic - Latino Female Occ Dist]]*FemalePayGapsByOccupationalSeriesAndRacialEthnicGroup[[#This Row],[Hispanic Latino % White Female Avg Salary]],7),"")</f>
        <v>1.1754999999999999E-3</v>
      </c>
      <c r="G5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57" spans="1:7" ht="15.6" x14ac:dyDescent="0.3">
      <c r="A57" s="4" t="s">
        <v>68</v>
      </c>
      <c r="B57" s="4">
        <f>IFERROR(ROUND(FemalePayGapsByOccupationalSeriesAndRacialEthnicGroup[[#This Row],[White Female Occ Dist]]*FemalePayGapsByOccupationalSeriesAndRacialEthnicGroup[[#This Row],[White Female % White Male Avg Salary]],7),"")</f>
        <v>5.2470099999999999E-2</v>
      </c>
      <c r="C57">
        <f>IFERROR(ROUND(FemalePayGapsByOccupationalSeriesAndRacialEthnicGroup[[#This Row],[AIAN Female Occ Dist]]*FemalePayGapsByOccupationalSeriesAndRacialEthnicGroup[[#This Row],[AIAN Female % White Male Avg Salary]],7),"")</f>
        <v>2.63317E-2</v>
      </c>
      <c r="D57">
        <f>IFERROR(ROUND(FemalePayGapsByOccupationalSeriesAndRacialEthnicGroup[[#This Row],[ANHPI Female Occ Dist]]*FemalePayGapsByOccupationalSeriesAndRacialEthnicGroup[[#This Row],[ANHPI Female % White Male Avg Salary]],7),"")</f>
        <v>3.8477499999999998E-2</v>
      </c>
      <c r="E57">
        <f>IFERROR(ROUND(FemalePayGapsByOccupationalSeriesAndRacialEthnicGroup[[#This Row],[Black Female Occ Dist]]*FemalePayGapsByOccupationalSeriesAndRacialEthnicGroup[[#This Row],[Black Female % White Male Avg Salary]],7),"")</f>
        <v>6.9722400000000004E-2</v>
      </c>
      <c r="F57">
        <f>IFERROR(ROUND(FemalePayGapsByOccupationalSeriesAndRacialEthnicGroup[[#This Row],[Hispanic - Latino Female Occ Dist]]*FemalePayGapsByOccupationalSeriesAndRacialEthnicGroup[[#This Row],[Hispanic Latino % White Female Avg Salary]],7),"")</f>
        <v>3.9666699999999999E-2</v>
      </c>
      <c r="G57">
        <f>IFERROR(ROUND(FemalePayGapsByOccupationalSeriesAndRacialEthnicGroup[[#This Row],[Other Female Occ Dist]]*FemalePayGapsByOccupationalSeriesAndRacialEthnicGroup[[#This Row],[Other Female % White Male Salary]],7),"")</f>
        <v>6.5823199999999998E-2</v>
      </c>
    </row>
    <row r="58" spans="1:7" ht="31.2" x14ac:dyDescent="0.3">
      <c r="A58" s="4" t="s">
        <v>69</v>
      </c>
      <c r="B58" s="4">
        <f>IFERROR(ROUND(FemalePayGapsByOccupationalSeriesAndRacialEthnicGroup[[#This Row],[White Female Occ Dist]]*FemalePayGapsByOccupationalSeriesAndRacialEthnicGroup[[#This Row],[White Female % White Male Avg Salary]],7),"")</f>
        <v>3.8722000000000001E-3</v>
      </c>
      <c r="C5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58">
        <f>IFERROR(ROUND(FemalePayGapsByOccupationalSeriesAndRacialEthnicGroup[[#This Row],[ANHPI Female Occ Dist]]*FemalePayGapsByOccupationalSeriesAndRacialEthnicGroup[[#This Row],[ANHPI Female % White Male Avg Salary]],7),"")</f>
        <v>2.2558999999999999E-3</v>
      </c>
      <c r="E58">
        <f>IFERROR(ROUND(FemalePayGapsByOccupationalSeriesAndRacialEthnicGroup[[#This Row],[Black Female Occ Dist]]*FemalePayGapsByOccupationalSeriesAndRacialEthnicGroup[[#This Row],[Black Female % White Male Avg Salary]],7),"")</f>
        <v>4.6008000000000004E-3</v>
      </c>
      <c r="F58">
        <f>IFERROR(ROUND(FemalePayGapsByOccupationalSeriesAndRacialEthnicGroup[[#This Row],[Hispanic - Latino Female Occ Dist]]*FemalePayGapsByOccupationalSeriesAndRacialEthnicGroup[[#This Row],[Hispanic Latino % White Female Avg Salary]],7),"")</f>
        <v>4.8704999999999998E-3</v>
      </c>
      <c r="G5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59" spans="1:7" ht="15.6" x14ac:dyDescent="0.3">
      <c r="A59" s="4" t="s">
        <v>70</v>
      </c>
      <c r="B59" s="4">
        <f>IFERROR(ROUND(FemalePayGapsByOccupationalSeriesAndRacialEthnicGroup[[#This Row],[White Female Occ Dist]]*FemalePayGapsByOccupationalSeriesAndRacialEthnicGroup[[#This Row],[White Female % White Male Avg Salary]],7),"")</f>
        <v>8.2097000000000003E-3</v>
      </c>
      <c r="C59">
        <f>IFERROR(ROUND(FemalePayGapsByOccupationalSeriesAndRacialEthnicGroup[[#This Row],[AIAN Female Occ Dist]]*FemalePayGapsByOccupationalSeriesAndRacialEthnicGroup[[#This Row],[AIAN Female % White Male Avg Salary]],7),"")</f>
        <v>3.6045999999999999E-3</v>
      </c>
      <c r="D59">
        <f>IFERROR(ROUND(FemalePayGapsByOccupationalSeriesAndRacialEthnicGroup[[#This Row],[ANHPI Female Occ Dist]]*FemalePayGapsByOccupationalSeriesAndRacialEthnicGroup[[#This Row],[ANHPI Female % White Male Avg Salary]],7),"")</f>
        <v>3.7847000000000002E-3</v>
      </c>
      <c r="E59">
        <f>IFERROR(ROUND(FemalePayGapsByOccupationalSeriesAndRacialEthnicGroup[[#This Row],[Black Female Occ Dist]]*FemalePayGapsByOccupationalSeriesAndRacialEthnicGroup[[#This Row],[Black Female % White Male Avg Salary]],7),"")</f>
        <v>6.8786000000000003E-3</v>
      </c>
      <c r="F59">
        <f>IFERROR(ROUND(FemalePayGapsByOccupationalSeriesAndRacialEthnicGroup[[#This Row],[Hispanic - Latino Female Occ Dist]]*FemalePayGapsByOccupationalSeriesAndRacialEthnicGroup[[#This Row],[Hispanic Latino % White Female Avg Salary]],7),"")</f>
        <v>5.9446000000000004E-3</v>
      </c>
      <c r="G59">
        <f>IFERROR(ROUND(FemalePayGapsByOccupationalSeriesAndRacialEthnicGroup[[#This Row],[Other Female Occ Dist]]*FemalePayGapsByOccupationalSeriesAndRacialEthnicGroup[[#This Row],[Other Female % White Male Salary]],7),"")</f>
        <v>9.5291000000000004E-3</v>
      </c>
    </row>
    <row r="60" spans="1:7" ht="15.6" x14ac:dyDescent="0.3">
      <c r="A60" s="4" t="s">
        <v>71</v>
      </c>
      <c r="B60" s="4">
        <f>IFERROR(ROUND(FemalePayGapsByOccupationalSeriesAndRacialEthnicGroup[[#This Row],[White Female Occ Dist]]*FemalePayGapsByOccupationalSeriesAndRacialEthnicGroup[[#This Row],[White Female % White Male Avg Salary]],7),"")</f>
        <v>4.5800000000000002E-4</v>
      </c>
      <c r="C6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6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60">
        <f>IFERROR(ROUND(FemalePayGapsByOccupationalSeriesAndRacialEthnicGroup[[#This Row],[Black Female Occ Dist]]*FemalePayGapsByOccupationalSeriesAndRacialEthnicGroup[[#This Row],[Black Female % White Male Avg Salary]],7),"")</f>
        <v>1.4231000000000001E-3</v>
      </c>
      <c r="F60">
        <f>IFERROR(ROUND(FemalePayGapsByOccupationalSeriesAndRacialEthnicGroup[[#This Row],[Hispanic - Latino Female Occ Dist]]*FemalePayGapsByOccupationalSeriesAndRacialEthnicGroup[[#This Row],[Hispanic Latino % White Female Avg Salary]],7),"")</f>
        <v>1.1599E-3</v>
      </c>
      <c r="G6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61" spans="1:7" ht="15.6" x14ac:dyDescent="0.3">
      <c r="A61" s="4" t="s">
        <v>72</v>
      </c>
      <c r="B61" s="4">
        <f>IFERROR(ROUND(FemalePayGapsByOccupationalSeriesAndRacialEthnicGroup[[#This Row],[White Female Occ Dist]]*FemalePayGapsByOccupationalSeriesAndRacialEthnicGroup[[#This Row],[White Female % White Male Avg Salary]],7),"")</f>
        <v>1.7450000000000001E-4</v>
      </c>
      <c r="C6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6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61">
        <f>IFERROR(ROUND(FemalePayGapsByOccupationalSeriesAndRacialEthnicGroup[[#This Row],[Black Female Occ Dist]]*FemalePayGapsByOccupationalSeriesAndRacialEthnicGroup[[#This Row],[Black Female % White Male Avg Salary]],7),"")</f>
        <v>3.3369999999999998E-4</v>
      </c>
      <c r="F6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6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62" spans="1:7" ht="15.6" x14ac:dyDescent="0.3">
      <c r="A62" s="4" t="s">
        <v>73</v>
      </c>
      <c r="B62" s="4">
        <f>IFERROR(ROUND(FemalePayGapsByOccupationalSeriesAndRacialEthnicGroup[[#This Row],[White Female Occ Dist]]*FemalePayGapsByOccupationalSeriesAndRacialEthnicGroup[[#This Row],[White Female % White Male Avg Salary]],7),"")</f>
        <v>6.0240000000000001E-4</v>
      </c>
      <c r="C6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62">
        <f>IFERROR(ROUND(FemalePayGapsByOccupationalSeriesAndRacialEthnicGroup[[#This Row],[ANHPI Female Occ Dist]]*FemalePayGapsByOccupationalSeriesAndRacialEthnicGroup[[#This Row],[ANHPI Female % White Male Avg Salary]],7),"")</f>
        <v>5.6930000000000001E-4</v>
      </c>
      <c r="E62">
        <f>IFERROR(ROUND(FemalePayGapsByOccupationalSeriesAndRacialEthnicGroup[[#This Row],[Black Female Occ Dist]]*FemalePayGapsByOccupationalSeriesAndRacialEthnicGroup[[#This Row],[Black Female % White Male Avg Salary]],7),"")</f>
        <v>5.6329999999999998E-4</v>
      </c>
      <c r="F62">
        <f>IFERROR(ROUND(FemalePayGapsByOccupationalSeriesAndRacialEthnicGroup[[#This Row],[Hispanic - Latino Female Occ Dist]]*FemalePayGapsByOccupationalSeriesAndRacialEthnicGroup[[#This Row],[Hispanic Latino % White Female Avg Salary]],7),"")</f>
        <v>6.466E-4</v>
      </c>
      <c r="G62">
        <f>IFERROR(ROUND(FemalePayGapsByOccupationalSeriesAndRacialEthnicGroup[[#This Row],[Other Female Occ Dist]]*FemalePayGapsByOccupationalSeriesAndRacialEthnicGroup[[#This Row],[Other Female % White Male Salary]],7),"")</f>
        <v>1.3906999999999999E-3</v>
      </c>
    </row>
    <row r="63" spans="1:7" ht="15.6" x14ac:dyDescent="0.3">
      <c r="A63" s="4" t="s">
        <v>74</v>
      </c>
      <c r="B63" s="4">
        <f>IFERROR(ROUND(FemalePayGapsByOccupationalSeriesAndRacialEthnicGroup[[#This Row],[White Female Occ Dist]]*FemalePayGapsByOccupationalSeriesAndRacialEthnicGroup[[#This Row],[White Female % White Male Avg Salary]],7),"")</f>
        <v>1.805E-4</v>
      </c>
      <c r="C6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6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6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6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6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64" spans="1:7" ht="31.2" x14ac:dyDescent="0.3">
      <c r="A64" s="4" t="s">
        <v>75</v>
      </c>
      <c r="B64" s="4">
        <f>IFERROR(ROUND(FemalePayGapsByOccupationalSeriesAndRacialEthnicGroup[[#This Row],[White Female Occ Dist]]*FemalePayGapsByOccupationalSeriesAndRacialEthnicGroup[[#This Row],[White Female % White Male Avg Salary]],7),"")</f>
        <v>1.9579999999999999E-4</v>
      </c>
      <c r="C6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6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6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6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6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65" spans="1:7" ht="15.6" x14ac:dyDescent="0.3">
      <c r="A65" s="4" t="s">
        <v>76</v>
      </c>
      <c r="B65" s="4">
        <f>IFERROR(ROUND(FemalePayGapsByOccupationalSeriesAndRacialEthnicGroup[[#This Row],[White Female Occ Dist]]*FemalePayGapsByOccupationalSeriesAndRacialEthnicGroup[[#This Row],[White Female % White Male Avg Salary]],7),"")</f>
        <v>1.5252699999999999E-2</v>
      </c>
      <c r="C65">
        <f>IFERROR(ROUND(FemalePayGapsByOccupationalSeriesAndRacialEthnicGroup[[#This Row],[AIAN Female Occ Dist]]*FemalePayGapsByOccupationalSeriesAndRacialEthnicGroup[[#This Row],[AIAN Female % White Male Avg Salary]],7),"")</f>
        <v>4.9560999999999997E-3</v>
      </c>
      <c r="D65">
        <f>IFERROR(ROUND(FemalePayGapsByOccupationalSeriesAndRacialEthnicGroup[[#This Row],[ANHPI Female Occ Dist]]*FemalePayGapsByOccupationalSeriesAndRacialEthnicGroup[[#This Row],[ANHPI Female % White Male Avg Salary]],7),"")</f>
        <v>1.6326299999999998E-2</v>
      </c>
      <c r="E65">
        <f>IFERROR(ROUND(FemalePayGapsByOccupationalSeriesAndRacialEthnicGroup[[#This Row],[Black Female Occ Dist]]*FemalePayGapsByOccupationalSeriesAndRacialEthnicGroup[[#This Row],[Black Female % White Male Avg Salary]],7),"")</f>
        <v>2.8337000000000002E-3</v>
      </c>
      <c r="F65">
        <f>IFERROR(ROUND(FemalePayGapsByOccupationalSeriesAndRacialEthnicGroup[[#This Row],[Hispanic - Latino Female Occ Dist]]*FemalePayGapsByOccupationalSeriesAndRacialEthnicGroup[[#This Row],[Hispanic Latino % White Female Avg Salary]],7),"")</f>
        <v>9.8545999999999998E-3</v>
      </c>
      <c r="G65">
        <f>IFERROR(ROUND(FemalePayGapsByOccupationalSeriesAndRacialEthnicGroup[[#This Row],[Other Female Occ Dist]]*FemalePayGapsByOccupationalSeriesAndRacialEthnicGroup[[#This Row],[Other Female % White Male Salary]],7),"")</f>
        <v>1.0437699999999999E-2</v>
      </c>
    </row>
    <row r="66" spans="1:7" ht="15.6" x14ac:dyDescent="0.3">
      <c r="A66" s="4" t="s">
        <v>77</v>
      </c>
      <c r="B66" s="4">
        <f>IFERROR(ROUND(FemalePayGapsByOccupationalSeriesAndRacialEthnicGroup[[#This Row],[White Female Occ Dist]]*FemalePayGapsByOccupationalSeriesAndRacialEthnicGroup[[#This Row],[White Female % White Male Avg Salary]],7),"")</f>
        <v>1.1727E-3</v>
      </c>
      <c r="C6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66">
        <f>IFERROR(ROUND(FemalePayGapsByOccupationalSeriesAndRacialEthnicGroup[[#This Row],[ANHPI Female Occ Dist]]*FemalePayGapsByOccupationalSeriesAndRacialEthnicGroup[[#This Row],[ANHPI Female % White Male Avg Salary]],7),"")</f>
        <v>2.5833000000000002E-3</v>
      </c>
      <c r="E66">
        <f>IFERROR(ROUND(FemalePayGapsByOccupationalSeriesAndRacialEthnicGroup[[#This Row],[Black Female Occ Dist]]*FemalePayGapsByOccupationalSeriesAndRacialEthnicGroup[[#This Row],[Black Female % White Male Avg Salary]],7),"")</f>
        <v>4.1679999999999999E-4</v>
      </c>
      <c r="F66">
        <f>IFERROR(ROUND(FemalePayGapsByOccupationalSeriesAndRacialEthnicGroup[[#This Row],[Hispanic - Latino Female Occ Dist]]*FemalePayGapsByOccupationalSeriesAndRacialEthnicGroup[[#This Row],[Hispanic Latino % White Female Avg Salary]],7),"")</f>
        <v>6.4939999999999996E-4</v>
      </c>
      <c r="G6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67" spans="1:7" ht="15.6" x14ac:dyDescent="0.3">
      <c r="A67" s="4" t="s">
        <v>78</v>
      </c>
      <c r="B67" s="4">
        <f>IFERROR(ROUND(FemalePayGapsByOccupationalSeriesAndRacialEthnicGroup[[#This Row],[White Female Occ Dist]]*FemalePayGapsByOccupationalSeriesAndRacialEthnicGroup[[#This Row],[White Female % White Male Avg Salary]],7),"")</f>
        <v>1.9900999999999999E-3</v>
      </c>
      <c r="C6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67">
        <f>IFERROR(ROUND(FemalePayGapsByOccupationalSeriesAndRacialEthnicGroup[[#This Row],[ANHPI Female Occ Dist]]*FemalePayGapsByOccupationalSeriesAndRacialEthnicGroup[[#This Row],[ANHPI Female % White Male Avg Salary]],7),"")</f>
        <v>1.2151E-3</v>
      </c>
      <c r="E67">
        <f>IFERROR(ROUND(FemalePayGapsByOccupationalSeriesAndRacialEthnicGroup[[#This Row],[Black Female Occ Dist]]*FemalePayGapsByOccupationalSeriesAndRacialEthnicGroup[[#This Row],[Black Female % White Male Avg Salary]],7),"")</f>
        <v>3.7589999999999998E-4</v>
      </c>
      <c r="F67">
        <f>IFERROR(ROUND(FemalePayGapsByOccupationalSeriesAndRacialEthnicGroup[[#This Row],[Hispanic - Latino Female Occ Dist]]*FemalePayGapsByOccupationalSeriesAndRacialEthnicGroup[[#This Row],[Hispanic Latino % White Female Avg Salary]],7),"")</f>
        <v>7.8910000000000004E-4</v>
      </c>
      <c r="G6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68" spans="1:7" ht="15.6" x14ac:dyDescent="0.3">
      <c r="A68" s="4" t="s">
        <v>79</v>
      </c>
      <c r="B68" s="4">
        <f>IFERROR(ROUND(FemalePayGapsByOccupationalSeriesAndRacialEthnicGroup[[#This Row],[White Female Occ Dist]]*FemalePayGapsByOccupationalSeriesAndRacialEthnicGroup[[#This Row],[White Female % White Male Avg Salary]],7),"")</f>
        <v>2.1019999999999999E-4</v>
      </c>
      <c r="C6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68">
        <f>IFERROR(ROUND(FemalePayGapsByOccupationalSeriesAndRacialEthnicGroup[[#This Row],[ANHPI Female Occ Dist]]*FemalePayGapsByOccupationalSeriesAndRacialEthnicGroup[[#This Row],[ANHPI Female % White Male Avg Salary]],7),"")</f>
        <v>1.8852999999999999E-3</v>
      </c>
      <c r="E68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6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6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69" spans="1:7" ht="15.6" x14ac:dyDescent="0.3">
      <c r="A69" s="4" t="s">
        <v>80</v>
      </c>
      <c r="B69" s="4">
        <f>IFERROR(ROUND(FemalePayGapsByOccupationalSeriesAndRacialEthnicGroup[[#This Row],[White Female Occ Dist]]*FemalePayGapsByOccupationalSeriesAndRacialEthnicGroup[[#This Row],[White Female % White Male Avg Salary]],7),"")</f>
        <v>8.719E-4</v>
      </c>
      <c r="C6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6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69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6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6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70" spans="1:7" ht="15.6" x14ac:dyDescent="0.3">
      <c r="A70" s="4" t="s">
        <v>81</v>
      </c>
      <c r="B70" s="4">
        <f>IFERROR(ROUND(FemalePayGapsByOccupationalSeriesAndRacialEthnicGroup[[#This Row],[White Female Occ Dist]]*FemalePayGapsByOccupationalSeriesAndRacialEthnicGroup[[#This Row],[White Female % White Male Avg Salary]],7),"")</f>
        <v>1.099E-4</v>
      </c>
      <c r="C7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7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70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7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7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71" spans="1:7" ht="15.6" x14ac:dyDescent="0.3">
      <c r="A71" s="4" t="s">
        <v>82</v>
      </c>
      <c r="B71" s="4">
        <f>IFERROR(ROUND(FemalePayGapsByOccupationalSeriesAndRacialEthnicGroup[[#This Row],[White Female Occ Dist]]*FemalePayGapsByOccupationalSeriesAndRacialEthnicGroup[[#This Row],[White Female % White Male Avg Salary]],7),"")</f>
        <v>2.12E-4</v>
      </c>
      <c r="C7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7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71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7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7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72" spans="1:7" ht="15.6" x14ac:dyDescent="0.3">
      <c r="A72" s="4" t="s">
        <v>83</v>
      </c>
      <c r="B72" s="4">
        <f>IFERROR(ROUND(FemalePayGapsByOccupationalSeriesAndRacialEthnicGroup[[#This Row],[White Female Occ Dist]]*FemalePayGapsByOccupationalSeriesAndRacialEthnicGroup[[#This Row],[White Female % White Male Avg Salary]],7),"")</f>
        <v>2.6229999999999998E-4</v>
      </c>
      <c r="C7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7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72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7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7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73" spans="1:7" ht="15.6" x14ac:dyDescent="0.3">
      <c r="A73" s="4" t="s">
        <v>84</v>
      </c>
      <c r="B73" s="4">
        <f>IFERROR(ROUND(FemalePayGapsByOccupationalSeriesAndRacialEthnicGroup[[#This Row],[White Female Occ Dist]]*FemalePayGapsByOccupationalSeriesAndRacialEthnicGroup[[#This Row],[White Female % White Male Avg Salary]],7),"")</f>
        <v>2.7470000000000001E-4</v>
      </c>
      <c r="C7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7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7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7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7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74" spans="1:7" ht="15.6" x14ac:dyDescent="0.3">
      <c r="A74" s="4" t="s">
        <v>85</v>
      </c>
      <c r="B74" s="4">
        <f>IFERROR(ROUND(FemalePayGapsByOccupationalSeriesAndRacialEthnicGroup[[#This Row],[White Female Occ Dist]]*FemalePayGapsByOccupationalSeriesAndRacialEthnicGroup[[#This Row],[White Female % White Male Avg Salary]],7),"")</f>
        <v>1.1179999999999999E-4</v>
      </c>
      <c r="C7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7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7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7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7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75" spans="1:7" ht="15.6" x14ac:dyDescent="0.3">
      <c r="A75" s="4" t="s">
        <v>86</v>
      </c>
      <c r="B75" s="4">
        <f>IFERROR(ROUND(FemalePayGapsByOccupationalSeriesAndRacialEthnicGroup[[#This Row],[White Female Occ Dist]]*FemalePayGapsByOccupationalSeriesAndRacialEthnicGroup[[#This Row],[White Female % White Male Avg Salary]],7),"")</f>
        <v>9.6899999999999997E-5</v>
      </c>
      <c r="C7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7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7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7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7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76" spans="1:7" ht="15.6" x14ac:dyDescent="0.3">
      <c r="A76" s="4" t="s">
        <v>87</v>
      </c>
      <c r="B76" s="4">
        <f>IFERROR(ROUND(FemalePayGapsByOccupationalSeriesAndRacialEthnicGroup[[#This Row],[White Female Occ Dist]]*FemalePayGapsByOccupationalSeriesAndRacialEthnicGroup[[#This Row],[White Female % White Male Avg Salary]],7),"")</f>
        <v>2.02E-4</v>
      </c>
      <c r="C7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7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7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7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7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77" spans="1:7" ht="15.6" x14ac:dyDescent="0.3">
      <c r="A77" s="4" t="s">
        <v>88</v>
      </c>
      <c r="B77" s="4">
        <f>IFERROR(ROUND(FemalePayGapsByOccupationalSeriesAndRacialEthnicGroup[[#This Row],[White Female Occ Dist]]*FemalePayGapsByOccupationalSeriesAndRacialEthnicGroup[[#This Row],[White Female % White Male Avg Salary]],7),"")</f>
        <v>5.7319999999999995E-4</v>
      </c>
      <c r="C7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7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77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7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7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78" spans="1:7" ht="15.6" x14ac:dyDescent="0.3">
      <c r="A78" s="4" t="s">
        <v>89</v>
      </c>
      <c r="B78" s="4">
        <f>IFERROR(ROUND(FemalePayGapsByOccupationalSeriesAndRacialEthnicGroup[[#This Row],[White Female Occ Dist]]*FemalePayGapsByOccupationalSeriesAndRacialEthnicGroup[[#This Row],[White Female % White Male Avg Salary]],7),"")</f>
        <v>1.148E-4</v>
      </c>
      <c r="C7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7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78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7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7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79" spans="1:7" ht="15.6" x14ac:dyDescent="0.3">
      <c r="A79" s="4" t="s">
        <v>90</v>
      </c>
      <c r="B79" s="4">
        <f>IFERROR(ROUND(FemalePayGapsByOccupationalSeriesAndRacialEthnicGroup[[#This Row],[White Female Occ Dist]]*FemalePayGapsByOccupationalSeriesAndRacialEthnicGroup[[#This Row],[White Female % White Male Avg Salary]],7),"")</f>
        <v>3.0508000000000002E-3</v>
      </c>
      <c r="C7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7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79">
        <f>IFERROR(ROUND(FemalePayGapsByOccupationalSeriesAndRacialEthnicGroup[[#This Row],[Black Female Occ Dist]]*FemalePayGapsByOccupationalSeriesAndRacialEthnicGroup[[#This Row],[Black Female % White Male Avg Salary]],7),"")</f>
        <v>5.0690000000000002E-4</v>
      </c>
      <c r="F79">
        <f>IFERROR(ROUND(FemalePayGapsByOccupationalSeriesAndRacialEthnicGroup[[#This Row],[Hispanic - Latino Female Occ Dist]]*FemalePayGapsByOccupationalSeriesAndRacialEthnicGroup[[#This Row],[Hispanic Latino % White Female Avg Salary]],7),"")</f>
        <v>1.4135E-3</v>
      </c>
      <c r="G79">
        <f>IFERROR(ROUND(FemalePayGapsByOccupationalSeriesAndRacialEthnicGroup[[#This Row],[Other Female Occ Dist]]*FemalePayGapsByOccupationalSeriesAndRacialEthnicGroup[[#This Row],[Other Female % White Male Salary]],7),"")</f>
        <v>2.2425000000000001E-3</v>
      </c>
    </row>
    <row r="80" spans="1:7" ht="15.6" x14ac:dyDescent="0.3">
      <c r="A80" s="4" t="s">
        <v>91</v>
      </c>
      <c r="B80" s="4">
        <f>IFERROR(ROUND(FemalePayGapsByOccupationalSeriesAndRacialEthnicGroup[[#This Row],[White Female Occ Dist]]*FemalePayGapsByOccupationalSeriesAndRacialEthnicGroup[[#This Row],[White Female % White Male Avg Salary]],7),"")</f>
        <v>4.9439999999999998E-4</v>
      </c>
      <c r="C8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8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80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8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8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81" spans="1:7" ht="15.6" x14ac:dyDescent="0.3">
      <c r="A81" s="4" t="s">
        <v>92</v>
      </c>
      <c r="B81" s="4">
        <f>IFERROR(ROUND(FemalePayGapsByOccupationalSeriesAndRacialEthnicGroup[[#This Row],[White Female Occ Dist]]*FemalePayGapsByOccupationalSeriesAndRacialEthnicGroup[[#This Row],[White Female % White Male Avg Salary]],7),"")</f>
        <v>6.826E-4</v>
      </c>
      <c r="C8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8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81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8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8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82" spans="1:7" ht="15.6" x14ac:dyDescent="0.3">
      <c r="A82" s="4" t="s">
        <v>93</v>
      </c>
      <c r="B82" s="4">
        <f>IFERROR(ROUND(FemalePayGapsByOccupationalSeriesAndRacialEthnicGroup[[#This Row],[White Female Occ Dist]]*FemalePayGapsByOccupationalSeriesAndRacialEthnicGroup[[#This Row],[White Female % White Male Avg Salary]],7),"")</f>
        <v>1.5430999999999999E-3</v>
      </c>
      <c r="C82">
        <f>IFERROR(ROUND(FemalePayGapsByOccupationalSeriesAndRacialEthnicGroup[[#This Row],[AIAN Female Occ Dist]]*FemalePayGapsByOccupationalSeriesAndRacialEthnicGroup[[#This Row],[AIAN Female % White Male Avg Salary]],7),"")</f>
        <v>2.2704000000000001E-3</v>
      </c>
      <c r="D8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82">
        <f>IFERROR(ROUND(FemalePayGapsByOccupationalSeriesAndRacialEthnicGroup[[#This Row],[Black Female Occ Dist]]*FemalePayGapsByOccupationalSeriesAndRacialEthnicGroup[[#This Row],[Black Female % White Male Avg Salary]],7),"")</f>
        <v>1.8199999999999999E-5</v>
      </c>
      <c r="F82">
        <f>IFERROR(ROUND(FemalePayGapsByOccupationalSeriesAndRacialEthnicGroup[[#This Row],[Hispanic - Latino Female Occ Dist]]*FemalePayGapsByOccupationalSeriesAndRacialEthnicGroup[[#This Row],[Hispanic Latino % White Female Avg Salary]],7),"")</f>
        <v>1.1818E-3</v>
      </c>
      <c r="G82">
        <f>IFERROR(ROUND(FemalePayGapsByOccupationalSeriesAndRacialEthnicGroup[[#This Row],[Other Female Occ Dist]]*FemalePayGapsByOccupationalSeriesAndRacialEthnicGroup[[#This Row],[Other Female % White Male Salary]],7),"")</f>
        <v>1.0162999999999999E-3</v>
      </c>
    </row>
    <row r="83" spans="1:7" ht="15.6" x14ac:dyDescent="0.3">
      <c r="A83" s="4" t="s">
        <v>94</v>
      </c>
      <c r="B83" s="4">
        <f>IFERROR(ROUND(FemalePayGapsByOccupationalSeriesAndRacialEthnicGroup[[#This Row],[White Female Occ Dist]]*FemalePayGapsByOccupationalSeriesAndRacialEthnicGroup[[#This Row],[White Female % White Male Avg Salary]],7),"")</f>
        <v>3.97E-4</v>
      </c>
      <c r="C8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8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8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8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8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84" spans="1:7" ht="15.6" x14ac:dyDescent="0.3">
      <c r="A84" s="4" t="s">
        <v>95</v>
      </c>
      <c r="B84" s="4">
        <f>IFERROR(ROUND(FemalePayGapsByOccupationalSeriesAndRacialEthnicGroup[[#This Row],[White Female Occ Dist]]*FemalePayGapsByOccupationalSeriesAndRacialEthnicGroup[[#This Row],[White Female % White Male Avg Salary]],7),"")</f>
        <v>9.5600000000000006E-5</v>
      </c>
      <c r="C8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8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8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8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8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85" spans="1:7" ht="15.6" x14ac:dyDescent="0.3">
      <c r="A85" s="4" t="s">
        <v>96</v>
      </c>
      <c r="B85" s="4">
        <f>IFERROR(ROUND(FemalePayGapsByOccupationalSeriesAndRacialEthnicGroup[[#This Row],[White Female Occ Dist]]*FemalePayGapsByOccupationalSeriesAndRacialEthnicGroup[[#This Row],[White Female % White Male Avg Salary]],7),"")</f>
        <v>3.1339999999999997E-4</v>
      </c>
      <c r="C8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8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8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8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8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86" spans="1:7" ht="15.6" x14ac:dyDescent="0.3">
      <c r="A86" s="4" t="s">
        <v>97</v>
      </c>
      <c r="B86" s="4">
        <f>IFERROR(ROUND(FemalePayGapsByOccupationalSeriesAndRacialEthnicGroup[[#This Row],[White Female Occ Dist]]*FemalePayGapsByOccupationalSeriesAndRacialEthnicGroup[[#This Row],[White Female % White Male Avg Salary]],7),"")</f>
        <v>1.1584E-3</v>
      </c>
      <c r="C8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8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8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8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8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87" spans="1:7" ht="15.6" x14ac:dyDescent="0.3">
      <c r="A87" s="4" t="s">
        <v>98</v>
      </c>
      <c r="B87" s="4">
        <f>IFERROR(ROUND(FemalePayGapsByOccupationalSeriesAndRacialEthnicGroup[[#This Row],[White Female Occ Dist]]*FemalePayGapsByOccupationalSeriesAndRacialEthnicGroup[[#This Row],[White Female % White Male Avg Salary]],7),"")</f>
        <v>2.6810000000000001E-4</v>
      </c>
      <c r="C8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8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87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8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8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88" spans="1:7" ht="15.6" x14ac:dyDescent="0.3">
      <c r="A88" s="4" t="s">
        <v>99</v>
      </c>
      <c r="B88" s="4">
        <f>IFERROR(ROUND(FemalePayGapsByOccupationalSeriesAndRacialEthnicGroup[[#This Row],[White Female Occ Dist]]*FemalePayGapsByOccupationalSeriesAndRacialEthnicGroup[[#This Row],[White Female % White Male Avg Salary]],7),"")</f>
        <v>1.1562E-3</v>
      </c>
      <c r="C8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8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88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88">
        <f>IFERROR(ROUND(FemalePayGapsByOccupationalSeriesAndRacialEthnicGroup[[#This Row],[Hispanic - Latino Female Occ Dist]]*FemalePayGapsByOccupationalSeriesAndRacialEthnicGroup[[#This Row],[Hispanic Latino % White Female Avg Salary]],7),"")</f>
        <v>3.2420000000000002E-4</v>
      </c>
      <c r="G8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89" spans="1:7" ht="15.6" x14ac:dyDescent="0.3">
      <c r="A89" s="4" t="s">
        <v>325</v>
      </c>
      <c r="B89" s="4">
        <f>IFERROR(ROUND(FemalePayGapsByOccupationalSeriesAndRacialEthnicGroup[[#This Row],[White Female Occ Dist]]*FemalePayGapsByOccupationalSeriesAndRacialEthnicGroup[[#This Row],[White Female % White Male Avg Salary]],7),"")</f>
        <v>1.3239999999999999E-4</v>
      </c>
      <c r="C8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8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89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8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8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90" spans="1:7" ht="15.6" x14ac:dyDescent="0.3">
      <c r="A90" s="4" t="s">
        <v>100</v>
      </c>
      <c r="B90" s="4">
        <f>IFERROR(ROUND(FemalePayGapsByOccupationalSeriesAndRacialEthnicGroup[[#This Row],[White Female Occ Dist]]*FemalePayGapsByOccupationalSeriesAndRacialEthnicGroup[[#This Row],[White Female % White Male Avg Salary]],7),"")</f>
        <v>1.9941199999999999E-2</v>
      </c>
      <c r="C90">
        <f>IFERROR(ROUND(FemalePayGapsByOccupationalSeriesAndRacialEthnicGroup[[#This Row],[AIAN Female Occ Dist]]*FemalePayGapsByOccupationalSeriesAndRacialEthnicGroup[[#This Row],[AIAN Female % White Male Avg Salary]],7),"")</f>
        <v>1.23172E-2</v>
      </c>
      <c r="D90">
        <f>IFERROR(ROUND(FemalePayGapsByOccupationalSeriesAndRacialEthnicGroup[[#This Row],[ANHPI Female Occ Dist]]*FemalePayGapsByOccupationalSeriesAndRacialEthnicGroup[[#This Row],[ANHPI Female % White Male Avg Salary]],7),"")</f>
        <v>1.8490400000000001E-2</v>
      </c>
      <c r="E90">
        <f>IFERROR(ROUND(FemalePayGapsByOccupationalSeriesAndRacialEthnicGroup[[#This Row],[Black Female Occ Dist]]*FemalePayGapsByOccupationalSeriesAndRacialEthnicGroup[[#This Row],[Black Female % White Male Avg Salary]],7),"")</f>
        <v>2.26524E-2</v>
      </c>
      <c r="F90">
        <f>IFERROR(ROUND(FemalePayGapsByOccupationalSeriesAndRacialEthnicGroup[[#This Row],[Hispanic - Latino Female Occ Dist]]*FemalePayGapsByOccupationalSeriesAndRacialEthnicGroup[[#This Row],[Hispanic Latino % White Female Avg Salary]],7),"")</f>
        <v>1.6860799999999999E-2</v>
      </c>
      <c r="G90">
        <f>IFERROR(ROUND(FemalePayGapsByOccupationalSeriesAndRacialEthnicGroup[[#This Row],[Other Female Occ Dist]]*FemalePayGapsByOccupationalSeriesAndRacialEthnicGroup[[#This Row],[Other Female % White Male Salary]],7),"")</f>
        <v>2.0412599999999999E-2</v>
      </c>
    </row>
    <row r="91" spans="1:7" ht="15.6" x14ac:dyDescent="0.3">
      <c r="A91" s="4" t="s">
        <v>101</v>
      </c>
      <c r="B91" s="4">
        <f>IFERROR(ROUND(FemalePayGapsByOccupationalSeriesAndRacialEthnicGroup[[#This Row],[White Female Occ Dist]]*FemalePayGapsByOccupationalSeriesAndRacialEthnicGroup[[#This Row],[White Female % White Male Avg Salary]],7),"")</f>
        <v>4.9994999999999996E-3</v>
      </c>
      <c r="C91">
        <f>IFERROR(ROUND(FemalePayGapsByOccupationalSeriesAndRacialEthnicGroup[[#This Row],[AIAN Female Occ Dist]]*FemalePayGapsByOccupationalSeriesAndRacialEthnicGroup[[#This Row],[AIAN Female % White Male Avg Salary]],7),"")</f>
        <v>9.2779999999999998E-3</v>
      </c>
      <c r="D91">
        <f>IFERROR(ROUND(FemalePayGapsByOccupationalSeriesAndRacialEthnicGroup[[#This Row],[ANHPI Female Occ Dist]]*FemalePayGapsByOccupationalSeriesAndRacialEthnicGroup[[#This Row],[ANHPI Female % White Male Avg Salary]],7),"")</f>
        <v>4.4025000000000002E-3</v>
      </c>
      <c r="E91">
        <f>IFERROR(ROUND(FemalePayGapsByOccupationalSeriesAndRacialEthnicGroup[[#This Row],[Black Female Occ Dist]]*FemalePayGapsByOccupationalSeriesAndRacialEthnicGroup[[#This Row],[Black Female % White Male Avg Salary]],7),"")</f>
        <v>5.8706000000000001E-3</v>
      </c>
      <c r="F91">
        <f>IFERROR(ROUND(FemalePayGapsByOccupationalSeriesAndRacialEthnicGroup[[#This Row],[Hispanic - Latino Female Occ Dist]]*FemalePayGapsByOccupationalSeriesAndRacialEthnicGroup[[#This Row],[Hispanic Latino % White Female Avg Salary]],7),"")</f>
        <v>5.9283000000000001E-3</v>
      </c>
      <c r="G91">
        <f>IFERROR(ROUND(FemalePayGapsByOccupationalSeriesAndRacialEthnicGroup[[#This Row],[Other Female Occ Dist]]*FemalePayGapsByOccupationalSeriesAndRacialEthnicGroup[[#This Row],[Other Female % White Male Salary]],7),"")</f>
        <v>4.8850999999999999E-3</v>
      </c>
    </row>
    <row r="92" spans="1:7" ht="15.6" x14ac:dyDescent="0.3">
      <c r="A92" s="4" t="s">
        <v>102</v>
      </c>
      <c r="B92" s="4">
        <f>IFERROR(ROUND(FemalePayGapsByOccupationalSeriesAndRacialEthnicGroup[[#This Row],[White Female Occ Dist]]*FemalePayGapsByOccupationalSeriesAndRacialEthnicGroup[[#This Row],[White Female % White Male Avg Salary]],7),"")</f>
        <v>8.3210000000000001E-4</v>
      </c>
      <c r="C9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9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92">
        <f>IFERROR(ROUND(FemalePayGapsByOccupationalSeriesAndRacialEthnicGroup[[#This Row],[Black Female Occ Dist]]*FemalePayGapsByOccupationalSeriesAndRacialEthnicGroup[[#This Row],[Black Female % White Male Avg Salary]],7),"")</f>
        <v>4.9410000000000003E-4</v>
      </c>
      <c r="F9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9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93" spans="1:7" ht="15.6" x14ac:dyDescent="0.3">
      <c r="A93" s="4" t="s">
        <v>103</v>
      </c>
      <c r="B93" s="4">
        <f>IFERROR(ROUND(FemalePayGapsByOccupationalSeriesAndRacialEthnicGroup[[#This Row],[White Female Occ Dist]]*FemalePayGapsByOccupationalSeriesAndRacialEthnicGroup[[#This Row],[White Female % White Male Avg Salary]],7),"")</f>
        <v>8.4282999999999997E-3</v>
      </c>
      <c r="C93">
        <f>IFERROR(ROUND(FemalePayGapsByOccupationalSeriesAndRacialEthnicGroup[[#This Row],[AIAN Female Occ Dist]]*FemalePayGapsByOccupationalSeriesAndRacialEthnicGroup[[#This Row],[AIAN Female % White Male Avg Salary]],7),"")</f>
        <v>5.2326999999999999E-3</v>
      </c>
      <c r="D93">
        <f>IFERROR(ROUND(FemalePayGapsByOccupationalSeriesAndRacialEthnicGroup[[#This Row],[ANHPI Female Occ Dist]]*FemalePayGapsByOccupationalSeriesAndRacialEthnicGroup[[#This Row],[ANHPI Female % White Male Avg Salary]],7),"")</f>
        <v>1.3979E-2</v>
      </c>
      <c r="E93">
        <f>IFERROR(ROUND(FemalePayGapsByOccupationalSeriesAndRacialEthnicGroup[[#This Row],[Black Female Occ Dist]]*FemalePayGapsByOccupationalSeriesAndRacialEthnicGroup[[#This Row],[Black Female % White Male Avg Salary]],7),"")</f>
        <v>9.4611999999999995E-3</v>
      </c>
      <c r="F93">
        <f>IFERROR(ROUND(FemalePayGapsByOccupationalSeriesAndRacialEthnicGroup[[#This Row],[Hispanic - Latino Female Occ Dist]]*FemalePayGapsByOccupationalSeriesAndRacialEthnicGroup[[#This Row],[Hispanic Latino % White Female Avg Salary]],7),"")</f>
        <v>4.6217999999999997E-3</v>
      </c>
      <c r="G93">
        <f>IFERROR(ROUND(FemalePayGapsByOccupationalSeriesAndRacialEthnicGroup[[#This Row],[Other Female Occ Dist]]*FemalePayGapsByOccupationalSeriesAndRacialEthnicGroup[[#This Row],[Other Female % White Male Salary]],7),"")</f>
        <v>6.8101999999999998E-3</v>
      </c>
    </row>
    <row r="94" spans="1:7" ht="15.6" x14ac:dyDescent="0.3">
      <c r="A94" s="4" t="s">
        <v>104</v>
      </c>
      <c r="B94" s="4">
        <f>IFERROR(ROUND(FemalePayGapsByOccupationalSeriesAndRacialEthnicGroup[[#This Row],[White Female Occ Dist]]*FemalePayGapsByOccupationalSeriesAndRacialEthnicGroup[[#This Row],[White Female % White Male Avg Salary]],7),"")</f>
        <v>6.2981000000000001E-3</v>
      </c>
      <c r="C9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94">
        <f>IFERROR(ROUND(FemalePayGapsByOccupationalSeriesAndRacialEthnicGroup[[#This Row],[ANHPI Female Occ Dist]]*FemalePayGapsByOccupationalSeriesAndRacialEthnicGroup[[#This Row],[ANHPI Female % White Male Avg Salary]],7),"")</f>
        <v>9.5499999999999995E-3</v>
      </c>
      <c r="E94">
        <f>IFERROR(ROUND(FemalePayGapsByOccupationalSeriesAndRacialEthnicGroup[[#This Row],[Black Female Occ Dist]]*FemalePayGapsByOccupationalSeriesAndRacialEthnicGroup[[#This Row],[Black Female % White Male Avg Salary]],7),"")</f>
        <v>6.1751999999999996E-3</v>
      </c>
      <c r="F94">
        <f>IFERROR(ROUND(FemalePayGapsByOccupationalSeriesAndRacialEthnicGroup[[#This Row],[Hispanic - Latino Female Occ Dist]]*FemalePayGapsByOccupationalSeriesAndRacialEthnicGroup[[#This Row],[Hispanic Latino % White Female Avg Salary]],7),"")</f>
        <v>7.2741999999999998E-3</v>
      </c>
      <c r="G94">
        <f>IFERROR(ROUND(FemalePayGapsByOccupationalSeriesAndRacialEthnicGroup[[#This Row],[Other Female Occ Dist]]*FemalePayGapsByOccupationalSeriesAndRacialEthnicGroup[[#This Row],[Other Female % White Male Salary]],7),"")</f>
        <v>7.9769999999999997E-3</v>
      </c>
    </row>
    <row r="95" spans="1:7" ht="15.6" x14ac:dyDescent="0.3">
      <c r="A95" s="4" t="s">
        <v>105</v>
      </c>
      <c r="B95" s="4">
        <f>IFERROR(ROUND(FemalePayGapsByOccupationalSeriesAndRacialEthnicGroup[[#This Row],[White Female Occ Dist]]*FemalePayGapsByOccupationalSeriesAndRacialEthnicGroup[[#This Row],[White Female % White Male Avg Salary]],7),"")</f>
        <v>4.6782999999999998E-3</v>
      </c>
      <c r="C9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95">
        <f>IFERROR(ROUND(FemalePayGapsByOccupationalSeriesAndRacialEthnicGroup[[#This Row],[ANHPI Female Occ Dist]]*FemalePayGapsByOccupationalSeriesAndRacialEthnicGroup[[#This Row],[ANHPI Female % White Male Avg Salary]],7),"")</f>
        <v>1.2606300000000001E-2</v>
      </c>
      <c r="E95">
        <f>IFERROR(ROUND(FemalePayGapsByOccupationalSeriesAndRacialEthnicGroup[[#This Row],[Black Female Occ Dist]]*FemalePayGapsByOccupationalSeriesAndRacialEthnicGroup[[#This Row],[Black Female % White Male Avg Salary]],7),"")</f>
        <v>3.8955000000000001E-3</v>
      </c>
      <c r="F95">
        <f>IFERROR(ROUND(FemalePayGapsByOccupationalSeriesAndRacialEthnicGroup[[#This Row],[Hispanic - Latino Female Occ Dist]]*FemalePayGapsByOccupationalSeriesAndRacialEthnicGroup[[#This Row],[Hispanic Latino % White Female Avg Salary]],7),"")</f>
        <v>5.3121000000000002E-3</v>
      </c>
      <c r="G9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96" spans="1:7" ht="15.6" x14ac:dyDescent="0.3">
      <c r="A96" s="4" t="s">
        <v>106</v>
      </c>
      <c r="B96" s="4">
        <f>IFERROR(ROUND(FemalePayGapsByOccupationalSeriesAndRacialEthnicGroup[[#This Row],[White Female Occ Dist]]*FemalePayGapsByOccupationalSeriesAndRacialEthnicGroup[[#This Row],[White Female % White Male Avg Salary]],7),"")</f>
        <v>4.8751999999999997E-3</v>
      </c>
      <c r="C96">
        <f>IFERROR(ROUND(FemalePayGapsByOccupationalSeriesAndRacialEthnicGroup[[#This Row],[AIAN Female Occ Dist]]*FemalePayGapsByOccupationalSeriesAndRacialEthnicGroup[[#This Row],[AIAN Female % White Male Avg Salary]],7),"")</f>
        <v>1.52464E-2</v>
      </c>
      <c r="D96">
        <f>IFERROR(ROUND(FemalePayGapsByOccupationalSeriesAndRacialEthnicGroup[[#This Row],[ANHPI Female Occ Dist]]*FemalePayGapsByOccupationalSeriesAndRacialEthnicGroup[[#This Row],[ANHPI Female % White Male Avg Salary]],7),"")</f>
        <v>2.1083999999999999E-3</v>
      </c>
      <c r="E96">
        <f>IFERROR(ROUND(FemalePayGapsByOccupationalSeriesAndRacialEthnicGroup[[#This Row],[Black Female Occ Dist]]*FemalePayGapsByOccupationalSeriesAndRacialEthnicGroup[[#This Row],[Black Female % White Male Avg Salary]],7),"")</f>
        <v>4.0661999999999998E-3</v>
      </c>
      <c r="F96">
        <f>IFERROR(ROUND(FemalePayGapsByOccupationalSeriesAndRacialEthnicGroup[[#This Row],[Hispanic - Latino Female Occ Dist]]*FemalePayGapsByOccupationalSeriesAndRacialEthnicGroup[[#This Row],[Hispanic Latino % White Female Avg Salary]],7),"")</f>
        <v>2.1442000000000002E-3</v>
      </c>
      <c r="G9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97" spans="1:7" ht="15.6" x14ac:dyDescent="0.3">
      <c r="A97" s="4" t="s">
        <v>107</v>
      </c>
      <c r="B97" s="4">
        <f>IFERROR(ROUND(FemalePayGapsByOccupationalSeriesAndRacialEthnicGroup[[#This Row],[White Female Occ Dist]]*FemalePayGapsByOccupationalSeriesAndRacialEthnicGroup[[#This Row],[White Female % White Male Avg Salary]],7),"")</f>
        <v>4.7990000000000001E-4</v>
      </c>
      <c r="C9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9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97">
        <f>IFERROR(ROUND(FemalePayGapsByOccupationalSeriesAndRacialEthnicGroup[[#This Row],[Black Female Occ Dist]]*FemalePayGapsByOccupationalSeriesAndRacialEthnicGroup[[#This Row],[Black Female % White Male Avg Salary]],7),"")</f>
        <v>1.0382E-3</v>
      </c>
      <c r="F97">
        <f>IFERROR(ROUND(FemalePayGapsByOccupationalSeriesAndRacialEthnicGroup[[#This Row],[Hispanic - Latino Female Occ Dist]]*FemalePayGapsByOccupationalSeriesAndRacialEthnicGroup[[#This Row],[Hispanic Latino % White Female Avg Salary]],7),"")</f>
        <v>9.3959999999999996E-4</v>
      </c>
      <c r="G9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98" spans="1:7" ht="15.6" x14ac:dyDescent="0.3">
      <c r="A98" s="4" t="s">
        <v>108</v>
      </c>
      <c r="B98" s="4">
        <f>IFERROR(ROUND(FemalePayGapsByOccupationalSeriesAndRacialEthnicGroup[[#This Row],[White Female Occ Dist]]*FemalePayGapsByOccupationalSeriesAndRacialEthnicGroup[[#This Row],[White Female % White Male Avg Salary]],7),"")</f>
        <v>4.3370000000000003E-4</v>
      </c>
      <c r="C9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9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98">
        <f>IFERROR(ROUND(FemalePayGapsByOccupationalSeriesAndRacialEthnicGroup[[#This Row],[Black Female Occ Dist]]*FemalePayGapsByOccupationalSeriesAndRacialEthnicGroup[[#This Row],[Black Female % White Male Avg Salary]],7),"")</f>
        <v>4.5760000000000001E-4</v>
      </c>
      <c r="F9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9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99" spans="1:7" ht="15.6" x14ac:dyDescent="0.3">
      <c r="A99" s="4" t="s">
        <v>109</v>
      </c>
      <c r="B99" s="4">
        <f>IFERROR(ROUND(FemalePayGapsByOccupationalSeriesAndRacialEthnicGroup[[#This Row],[White Female Occ Dist]]*FemalePayGapsByOccupationalSeriesAndRacialEthnicGroup[[#This Row],[White Female % White Male Avg Salary]],7),"")</f>
        <v>4.75E-4</v>
      </c>
      <c r="C9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9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99">
        <f>IFERROR(ROUND(FemalePayGapsByOccupationalSeriesAndRacialEthnicGroup[[#This Row],[Black Female Occ Dist]]*FemalePayGapsByOccupationalSeriesAndRacialEthnicGroup[[#This Row],[Black Female % White Male Avg Salary]],7),"")</f>
        <v>6.1640000000000002E-4</v>
      </c>
      <c r="F9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9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00" spans="1:7" ht="15.6" x14ac:dyDescent="0.3">
      <c r="A100" s="4" t="s">
        <v>110</v>
      </c>
      <c r="B100" s="4">
        <f>IFERROR(ROUND(FemalePayGapsByOccupationalSeriesAndRacialEthnicGroup[[#This Row],[White Female Occ Dist]]*FemalePayGapsByOccupationalSeriesAndRacialEthnicGroup[[#This Row],[White Female % White Male Avg Salary]],7),"")</f>
        <v>1.0302E-3</v>
      </c>
      <c r="C10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0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00">
        <f>IFERROR(ROUND(FemalePayGapsByOccupationalSeriesAndRacialEthnicGroup[[#This Row],[Black Female Occ Dist]]*FemalePayGapsByOccupationalSeriesAndRacialEthnicGroup[[#This Row],[Black Female % White Male Avg Salary]],7),"")</f>
        <v>1.2888999999999999E-3</v>
      </c>
      <c r="F100">
        <f>IFERROR(ROUND(FemalePayGapsByOccupationalSeriesAndRacialEthnicGroup[[#This Row],[Hispanic - Latino Female Occ Dist]]*FemalePayGapsByOccupationalSeriesAndRacialEthnicGroup[[#This Row],[Hispanic Latino % White Female Avg Salary]],7),"")</f>
        <v>1.0563E-3</v>
      </c>
      <c r="G10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01" spans="1:7" ht="15.6" x14ac:dyDescent="0.3">
      <c r="A101" s="4" t="s">
        <v>111</v>
      </c>
      <c r="B101" s="4">
        <f>IFERROR(ROUND(FemalePayGapsByOccupationalSeriesAndRacialEthnicGroup[[#This Row],[White Female Occ Dist]]*FemalePayGapsByOccupationalSeriesAndRacialEthnicGroup[[#This Row],[White Female % White Male Avg Salary]],7),"")</f>
        <v>1.0666E-3</v>
      </c>
      <c r="C10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0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01">
        <f>IFERROR(ROUND(FemalePayGapsByOccupationalSeriesAndRacialEthnicGroup[[#This Row],[Black Female Occ Dist]]*FemalePayGapsByOccupationalSeriesAndRacialEthnicGroup[[#This Row],[Black Female % White Male Avg Salary]],7),"")</f>
        <v>1.6337999999999999E-3</v>
      </c>
      <c r="F101">
        <f>IFERROR(ROUND(FemalePayGapsByOccupationalSeriesAndRacialEthnicGroup[[#This Row],[Hispanic - Latino Female Occ Dist]]*FemalePayGapsByOccupationalSeriesAndRacialEthnicGroup[[#This Row],[Hispanic Latino % White Female Avg Salary]],7),"")</f>
        <v>1.0721000000000001E-3</v>
      </c>
      <c r="G10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02" spans="1:7" ht="15.6" x14ac:dyDescent="0.3">
      <c r="A102" s="4" t="s">
        <v>112</v>
      </c>
      <c r="B102" s="4">
        <f>IFERROR(ROUND(FemalePayGapsByOccupationalSeriesAndRacialEthnicGroup[[#This Row],[White Female Occ Dist]]*FemalePayGapsByOccupationalSeriesAndRacialEthnicGroup[[#This Row],[White Female % White Male Avg Salary]],7),"")</f>
        <v>9.5209999999999999E-3</v>
      </c>
      <c r="C102">
        <f>IFERROR(ROUND(FemalePayGapsByOccupationalSeriesAndRacialEthnicGroup[[#This Row],[AIAN Female Occ Dist]]*FemalePayGapsByOccupationalSeriesAndRacialEthnicGroup[[#This Row],[AIAN Female % White Male Avg Salary]],7),"")</f>
        <v>8.7279000000000002E-3</v>
      </c>
      <c r="D102">
        <f>IFERROR(ROUND(FemalePayGapsByOccupationalSeriesAndRacialEthnicGroup[[#This Row],[ANHPI Female Occ Dist]]*FemalePayGapsByOccupationalSeriesAndRacialEthnicGroup[[#This Row],[ANHPI Female % White Male Avg Salary]],7),"")</f>
        <v>1.06899E-2</v>
      </c>
      <c r="E102">
        <f>IFERROR(ROUND(FemalePayGapsByOccupationalSeriesAndRacialEthnicGroup[[#This Row],[Black Female Occ Dist]]*FemalePayGapsByOccupationalSeriesAndRacialEthnicGroup[[#This Row],[Black Female % White Male Avg Salary]],7),"")</f>
        <v>1.2537899999999999E-2</v>
      </c>
      <c r="F102">
        <f>IFERROR(ROUND(FemalePayGapsByOccupationalSeriesAndRacialEthnicGroup[[#This Row],[Hispanic - Latino Female Occ Dist]]*FemalePayGapsByOccupationalSeriesAndRacialEthnicGroup[[#This Row],[Hispanic Latino % White Female Avg Salary]],7),"")</f>
        <v>8.6041999999999993E-3</v>
      </c>
      <c r="G102">
        <f>IFERROR(ROUND(FemalePayGapsByOccupationalSeriesAndRacialEthnicGroup[[#This Row],[Other Female Occ Dist]]*FemalePayGapsByOccupationalSeriesAndRacialEthnicGroup[[#This Row],[Other Female % White Male Salary]],7),"")</f>
        <v>1.2436600000000001E-2</v>
      </c>
    </row>
    <row r="103" spans="1:7" ht="15.6" x14ac:dyDescent="0.3">
      <c r="A103" s="4" t="s">
        <v>113</v>
      </c>
      <c r="B103" s="4">
        <f>IFERROR(ROUND(FemalePayGapsByOccupationalSeriesAndRacialEthnicGroup[[#This Row],[White Female Occ Dist]]*FemalePayGapsByOccupationalSeriesAndRacialEthnicGroup[[#This Row],[White Female % White Male Avg Salary]],7),"")</f>
        <v>4.574E-4</v>
      </c>
      <c r="C10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0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03">
        <f>IFERROR(ROUND(FemalePayGapsByOccupationalSeriesAndRacialEthnicGroup[[#This Row],[Black Female Occ Dist]]*FemalePayGapsByOccupationalSeriesAndRacialEthnicGroup[[#This Row],[Black Female % White Male Avg Salary]],7),"")</f>
        <v>3.9159999999999998E-4</v>
      </c>
      <c r="F10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0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04" spans="1:7" ht="15.6" x14ac:dyDescent="0.3">
      <c r="A104" s="4" t="s">
        <v>114</v>
      </c>
      <c r="B104" s="4">
        <f>IFERROR(ROUND(FemalePayGapsByOccupationalSeriesAndRacialEthnicGroup[[#This Row],[White Female Occ Dist]]*FemalePayGapsByOccupationalSeriesAndRacialEthnicGroup[[#This Row],[White Female % White Male Avg Salary]],7),"")</f>
        <v>2.9061E-3</v>
      </c>
      <c r="C10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04">
        <f>IFERROR(ROUND(FemalePayGapsByOccupationalSeriesAndRacialEthnicGroup[[#This Row],[ANHPI Female Occ Dist]]*FemalePayGapsByOccupationalSeriesAndRacialEthnicGroup[[#This Row],[ANHPI Female % White Male Avg Salary]],7),"")</f>
        <v>2.3928E-3</v>
      </c>
      <c r="E104">
        <f>IFERROR(ROUND(FemalePayGapsByOccupationalSeriesAndRacialEthnicGroup[[#This Row],[Black Female Occ Dist]]*FemalePayGapsByOccupationalSeriesAndRacialEthnicGroup[[#This Row],[Black Female % White Male Avg Salary]],7),"")</f>
        <v>1.5533000000000001E-3</v>
      </c>
      <c r="F104">
        <f>IFERROR(ROUND(FemalePayGapsByOccupationalSeriesAndRacialEthnicGroup[[#This Row],[Hispanic - Latino Female Occ Dist]]*FemalePayGapsByOccupationalSeriesAndRacialEthnicGroup[[#This Row],[Hispanic Latino % White Female Avg Salary]],7),"")</f>
        <v>1.5966999999999999E-3</v>
      </c>
      <c r="G10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05" spans="1:7" ht="15.6" x14ac:dyDescent="0.3">
      <c r="A105" s="4" t="s">
        <v>115</v>
      </c>
      <c r="B105" s="4">
        <f>IFERROR(ROUND(FemalePayGapsByOccupationalSeriesAndRacialEthnicGroup[[#This Row],[White Female Occ Dist]]*FemalePayGapsByOccupationalSeriesAndRacialEthnicGroup[[#This Row],[White Female % White Male Avg Salary]],7),"")</f>
        <v>4.5820000000000002E-4</v>
      </c>
      <c r="C10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0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0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0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0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06" spans="1:7" ht="15.6" x14ac:dyDescent="0.3">
      <c r="A106" s="4" t="s">
        <v>116</v>
      </c>
      <c r="B106" s="4">
        <f>IFERROR(ROUND(FemalePayGapsByOccupationalSeriesAndRacialEthnicGroup[[#This Row],[White Female Occ Dist]]*FemalePayGapsByOccupationalSeriesAndRacialEthnicGroup[[#This Row],[White Female % White Male Avg Salary]],7),"")</f>
        <v>6.8450999999999998E-3</v>
      </c>
      <c r="C10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06">
        <f>IFERROR(ROUND(FemalePayGapsByOccupationalSeriesAndRacialEthnicGroup[[#This Row],[ANHPI Female Occ Dist]]*FemalePayGapsByOccupationalSeriesAndRacialEthnicGroup[[#This Row],[ANHPI Female % White Male Avg Salary]],7),"")</f>
        <v>5.3864000000000004E-3</v>
      </c>
      <c r="E106">
        <f>IFERROR(ROUND(FemalePayGapsByOccupationalSeriesAndRacialEthnicGroup[[#This Row],[Black Female Occ Dist]]*FemalePayGapsByOccupationalSeriesAndRacialEthnicGroup[[#This Row],[Black Female % White Male Avg Salary]],7),"")</f>
        <v>9.0910999999999995E-3</v>
      </c>
      <c r="F106">
        <f>IFERROR(ROUND(FemalePayGapsByOccupationalSeriesAndRacialEthnicGroup[[#This Row],[Hispanic - Latino Female Occ Dist]]*FemalePayGapsByOccupationalSeriesAndRacialEthnicGroup[[#This Row],[Hispanic Latino % White Female Avg Salary]],7),"")</f>
        <v>1.35955E-2</v>
      </c>
      <c r="G106">
        <f>IFERROR(ROUND(FemalePayGapsByOccupationalSeriesAndRacialEthnicGroup[[#This Row],[Other Female Occ Dist]]*FemalePayGapsByOccupationalSeriesAndRacialEthnicGroup[[#This Row],[Other Female % White Male Salary]],7),"")</f>
        <v>4.0020000000000003E-3</v>
      </c>
    </row>
    <row r="107" spans="1:7" ht="15.6" x14ac:dyDescent="0.3">
      <c r="A107" s="4" t="s">
        <v>117</v>
      </c>
      <c r="B107" s="4">
        <f>IFERROR(ROUND(FemalePayGapsByOccupationalSeriesAndRacialEthnicGroup[[#This Row],[White Female Occ Dist]]*FemalePayGapsByOccupationalSeriesAndRacialEthnicGroup[[#This Row],[White Female % White Male Avg Salary]],7),"")</f>
        <v>1.08375E-2</v>
      </c>
      <c r="C107">
        <f>IFERROR(ROUND(FemalePayGapsByOccupationalSeriesAndRacialEthnicGroup[[#This Row],[AIAN Female Occ Dist]]*FemalePayGapsByOccupationalSeriesAndRacialEthnicGroup[[#This Row],[AIAN Female % White Male Avg Salary]],7),"")</f>
        <v>6.6333E-3</v>
      </c>
      <c r="D107">
        <f>IFERROR(ROUND(FemalePayGapsByOccupationalSeriesAndRacialEthnicGroup[[#This Row],[ANHPI Female Occ Dist]]*FemalePayGapsByOccupationalSeriesAndRacialEthnicGroup[[#This Row],[ANHPI Female % White Male Avg Salary]],7),"")</f>
        <v>2.0420500000000001E-2</v>
      </c>
      <c r="E107">
        <f>IFERROR(ROUND(FemalePayGapsByOccupationalSeriesAndRacialEthnicGroup[[#This Row],[Black Female Occ Dist]]*FemalePayGapsByOccupationalSeriesAndRacialEthnicGroup[[#This Row],[Black Female % White Male Avg Salary]],7),"")</f>
        <v>5.751E-3</v>
      </c>
      <c r="F107">
        <f>IFERROR(ROUND(FemalePayGapsByOccupationalSeriesAndRacialEthnicGroup[[#This Row],[Hispanic - Latino Female Occ Dist]]*FemalePayGapsByOccupationalSeriesAndRacialEthnicGroup[[#This Row],[Hispanic Latino % White Female Avg Salary]],7),"")</f>
        <v>4.4494000000000001E-3</v>
      </c>
      <c r="G107">
        <f>IFERROR(ROUND(FemalePayGapsByOccupationalSeriesAndRacialEthnicGroup[[#This Row],[Other Female Occ Dist]]*FemalePayGapsByOccupationalSeriesAndRacialEthnicGroup[[#This Row],[Other Female % White Male Salary]],7),"")</f>
        <v>4.6502000000000002E-3</v>
      </c>
    </row>
    <row r="108" spans="1:7" ht="15.6" x14ac:dyDescent="0.3">
      <c r="A108" s="4" t="s">
        <v>118</v>
      </c>
      <c r="B108" s="4">
        <f>IFERROR(ROUND(FemalePayGapsByOccupationalSeriesAndRacialEthnicGroup[[#This Row],[White Female Occ Dist]]*FemalePayGapsByOccupationalSeriesAndRacialEthnicGroup[[#This Row],[White Female % White Male Avg Salary]],7),"")</f>
        <v>1.0933699999999999E-2</v>
      </c>
      <c r="C108">
        <f>IFERROR(ROUND(FemalePayGapsByOccupationalSeriesAndRacialEthnicGroup[[#This Row],[AIAN Female Occ Dist]]*FemalePayGapsByOccupationalSeriesAndRacialEthnicGroup[[#This Row],[AIAN Female % White Male Avg Salary]],7),"")</f>
        <v>9.4225000000000003E-3</v>
      </c>
      <c r="D108">
        <f>IFERROR(ROUND(FemalePayGapsByOccupationalSeriesAndRacialEthnicGroup[[#This Row],[ANHPI Female Occ Dist]]*FemalePayGapsByOccupationalSeriesAndRacialEthnicGroup[[#This Row],[ANHPI Female % White Male Avg Salary]],7),"")</f>
        <v>4.3363199999999998E-2</v>
      </c>
      <c r="E108">
        <f>IFERROR(ROUND(FemalePayGapsByOccupationalSeriesAndRacialEthnicGroup[[#This Row],[Black Female Occ Dist]]*FemalePayGapsByOccupationalSeriesAndRacialEthnicGroup[[#This Row],[Black Female % White Male Avg Salary]],7),"")</f>
        <v>3.7306000000000001E-3</v>
      </c>
      <c r="F108">
        <f>IFERROR(ROUND(FemalePayGapsByOccupationalSeriesAndRacialEthnicGroup[[#This Row],[Hispanic - Latino Female Occ Dist]]*FemalePayGapsByOccupationalSeriesAndRacialEthnicGroup[[#This Row],[Hispanic Latino % White Female Avg Salary]],7),"")</f>
        <v>7.0862E-3</v>
      </c>
      <c r="G108">
        <f>IFERROR(ROUND(FemalePayGapsByOccupationalSeriesAndRacialEthnicGroup[[#This Row],[Other Female Occ Dist]]*FemalePayGapsByOccupationalSeriesAndRacialEthnicGroup[[#This Row],[Other Female % White Male Salary]],7),"")</f>
        <v>6.3147999999999998E-3</v>
      </c>
    </row>
    <row r="109" spans="1:7" ht="15.6" x14ac:dyDescent="0.3">
      <c r="A109" s="4" t="s">
        <v>119</v>
      </c>
      <c r="B109" s="4">
        <f>IFERROR(ROUND(FemalePayGapsByOccupationalSeriesAndRacialEthnicGroup[[#This Row],[White Female Occ Dist]]*FemalePayGapsByOccupationalSeriesAndRacialEthnicGroup[[#This Row],[White Female % White Male Avg Salary]],7),"")</f>
        <v>3.0998000000000002E-3</v>
      </c>
      <c r="C10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09">
        <f>IFERROR(ROUND(FemalePayGapsByOccupationalSeriesAndRacialEthnicGroup[[#This Row],[ANHPI Female Occ Dist]]*FemalePayGapsByOccupationalSeriesAndRacialEthnicGroup[[#This Row],[ANHPI Female % White Male Avg Salary]],7),"")</f>
        <v>2.4886000000000001E-3</v>
      </c>
      <c r="E109">
        <f>IFERROR(ROUND(FemalePayGapsByOccupationalSeriesAndRacialEthnicGroup[[#This Row],[Black Female Occ Dist]]*FemalePayGapsByOccupationalSeriesAndRacialEthnicGroup[[#This Row],[Black Female % White Male Avg Salary]],7),"")</f>
        <v>8.7449999999999995E-4</v>
      </c>
      <c r="F109">
        <f>IFERROR(ROUND(FemalePayGapsByOccupationalSeriesAndRacialEthnicGroup[[#This Row],[Hispanic - Latino Female Occ Dist]]*FemalePayGapsByOccupationalSeriesAndRacialEthnicGroup[[#This Row],[Hispanic Latino % White Female Avg Salary]],7),"")</f>
        <v>8.2740000000000005E-4</v>
      </c>
      <c r="G10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10" spans="1:7" ht="15.6" x14ac:dyDescent="0.3">
      <c r="A110" s="4" t="s">
        <v>120</v>
      </c>
      <c r="B110" s="4">
        <f>IFERROR(ROUND(FemalePayGapsByOccupationalSeriesAndRacialEthnicGroup[[#This Row],[White Female Occ Dist]]*FemalePayGapsByOccupationalSeriesAndRacialEthnicGroup[[#This Row],[White Female % White Male Avg Salary]],7),"")</f>
        <v>9.4889399999999999E-2</v>
      </c>
      <c r="C110">
        <f>IFERROR(ROUND(FemalePayGapsByOccupationalSeriesAndRacialEthnicGroup[[#This Row],[AIAN Female Occ Dist]]*FemalePayGapsByOccupationalSeriesAndRacialEthnicGroup[[#This Row],[AIAN Female % White Male Avg Salary]],7),"")</f>
        <v>9.91586E-2</v>
      </c>
      <c r="D110">
        <f>IFERROR(ROUND(FemalePayGapsByOccupationalSeriesAndRacialEthnicGroup[[#This Row],[ANHPI Female Occ Dist]]*FemalePayGapsByOccupationalSeriesAndRacialEthnicGroup[[#This Row],[ANHPI Female % White Male Avg Salary]],7),"")</f>
        <v>0.171954</v>
      </c>
      <c r="E110">
        <f>IFERROR(ROUND(FemalePayGapsByOccupationalSeriesAndRacialEthnicGroup[[#This Row],[Black Female Occ Dist]]*FemalePayGapsByOccupationalSeriesAndRacialEthnicGroup[[#This Row],[Black Female % White Male Avg Salary]],7),"")</f>
        <v>7.0620600000000006E-2</v>
      </c>
      <c r="F110">
        <f>IFERROR(ROUND(FemalePayGapsByOccupationalSeriesAndRacialEthnicGroup[[#This Row],[Hispanic - Latino Female Occ Dist]]*FemalePayGapsByOccupationalSeriesAndRacialEthnicGroup[[#This Row],[Hispanic Latino % White Female Avg Salary]],7),"")</f>
        <v>5.3123799999999999E-2</v>
      </c>
      <c r="G110">
        <f>IFERROR(ROUND(FemalePayGapsByOccupationalSeriesAndRacialEthnicGroup[[#This Row],[Other Female Occ Dist]]*FemalePayGapsByOccupationalSeriesAndRacialEthnicGroup[[#This Row],[Other Female % White Male Salary]],7),"")</f>
        <v>5.0101800000000002E-2</v>
      </c>
    </row>
    <row r="111" spans="1:7" ht="15.6" x14ac:dyDescent="0.3">
      <c r="A111" s="4" t="s">
        <v>121</v>
      </c>
      <c r="B111" s="4">
        <f>IFERROR(ROUND(FemalePayGapsByOccupationalSeriesAndRacialEthnicGroup[[#This Row],[White Female Occ Dist]]*FemalePayGapsByOccupationalSeriesAndRacialEthnicGroup[[#This Row],[White Female % White Male Avg Salary]],7),"")</f>
        <v>1.6525000000000001E-2</v>
      </c>
      <c r="C111">
        <f>IFERROR(ROUND(FemalePayGapsByOccupationalSeriesAndRacialEthnicGroup[[#This Row],[AIAN Female Occ Dist]]*FemalePayGapsByOccupationalSeriesAndRacialEthnicGroup[[#This Row],[AIAN Female % White Male Avg Salary]],7),"")</f>
        <v>1.72263E-2</v>
      </c>
      <c r="D111">
        <f>IFERROR(ROUND(FemalePayGapsByOccupationalSeriesAndRacialEthnicGroup[[#This Row],[ANHPI Female Occ Dist]]*FemalePayGapsByOccupationalSeriesAndRacialEthnicGroup[[#This Row],[ANHPI Female % White Male Avg Salary]],7),"")</f>
        <v>1.7846999999999998E-2</v>
      </c>
      <c r="E111">
        <f>IFERROR(ROUND(FemalePayGapsByOccupationalSeriesAndRacialEthnicGroup[[#This Row],[Black Female Occ Dist]]*FemalePayGapsByOccupationalSeriesAndRacialEthnicGroup[[#This Row],[Black Female % White Male Avg Salary]],7),"")</f>
        <v>2.0660999999999999E-2</v>
      </c>
      <c r="F111">
        <f>IFERROR(ROUND(FemalePayGapsByOccupationalSeriesAndRacialEthnicGroup[[#This Row],[Hispanic - Latino Female Occ Dist]]*FemalePayGapsByOccupationalSeriesAndRacialEthnicGroup[[#This Row],[Hispanic Latino % White Female Avg Salary]],7),"")</f>
        <v>1.2898700000000001E-2</v>
      </c>
      <c r="G111">
        <f>IFERROR(ROUND(FemalePayGapsByOccupationalSeriesAndRacialEthnicGroup[[#This Row],[Other Female Occ Dist]]*FemalePayGapsByOccupationalSeriesAndRacialEthnicGroup[[#This Row],[Other Female % White Male Salary]],7),"")</f>
        <v>9.8557000000000002E-3</v>
      </c>
    </row>
    <row r="112" spans="1:7" ht="15.6" x14ac:dyDescent="0.3">
      <c r="A112" s="4" t="s">
        <v>122</v>
      </c>
      <c r="B112" s="4">
        <f>IFERROR(ROUND(FemalePayGapsByOccupationalSeriesAndRacialEthnicGroup[[#This Row],[White Female Occ Dist]]*FemalePayGapsByOccupationalSeriesAndRacialEthnicGroup[[#This Row],[White Female % White Male Avg Salary]],7),"")</f>
        <v>6.4986000000000002E-3</v>
      </c>
      <c r="C112">
        <f>IFERROR(ROUND(FemalePayGapsByOccupationalSeriesAndRacialEthnicGroup[[#This Row],[AIAN Female Occ Dist]]*FemalePayGapsByOccupationalSeriesAndRacialEthnicGroup[[#This Row],[AIAN Female % White Male Avg Salary]],7),"")</f>
        <v>2.9602900000000001E-2</v>
      </c>
      <c r="D112">
        <f>IFERROR(ROUND(FemalePayGapsByOccupationalSeriesAndRacialEthnicGroup[[#This Row],[ANHPI Female Occ Dist]]*FemalePayGapsByOccupationalSeriesAndRacialEthnicGroup[[#This Row],[ANHPI Female % White Male Avg Salary]],7),"")</f>
        <v>1.6395199999999999E-2</v>
      </c>
      <c r="E112">
        <f>IFERROR(ROUND(FemalePayGapsByOccupationalSeriesAndRacialEthnicGroup[[#This Row],[Black Female Occ Dist]]*FemalePayGapsByOccupationalSeriesAndRacialEthnicGroup[[#This Row],[Black Female % White Male Avg Salary]],7),"")</f>
        <v>2.7565699999999999E-2</v>
      </c>
      <c r="F112">
        <f>IFERROR(ROUND(FemalePayGapsByOccupationalSeriesAndRacialEthnicGroup[[#This Row],[Hispanic - Latino Female Occ Dist]]*FemalePayGapsByOccupationalSeriesAndRacialEthnicGroup[[#This Row],[Hispanic Latino % White Female Avg Salary]],7),"")</f>
        <v>8.8523999999999999E-3</v>
      </c>
      <c r="G112">
        <f>IFERROR(ROUND(FemalePayGapsByOccupationalSeriesAndRacialEthnicGroup[[#This Row],[Other Female Occ Dist]]*FemalePayGapsByOccupationalSeriesAndRacialEthnicGroup[[#This Row],[Other Female % White Male Salary]],7),"")</f>
        <v>4.6445999999999996E-3</v>
      </c>
    </row>
    <row r="113" spans="1:7" ht="15.6" x14ac:dyDescent="0.3">
      <c r="A113" s="4" t="s">
        <v>123</v>
      </c>
      <c r="B113" s="4">
        <f>IFERROR(ROUND(FemalePayGapsByOccupationalSeriesAndRacialEthnicGroup[[#This Row],[White Female Occ Dist]]*FemalePayGapsByOccupationalSeriesAndRacialEthnicGroup[[#This Row],[White Female % White Male Avg Salary]],7),"")</f>
        <v>1.3799999999999999E-3</v>
      </c>
      <c r="C11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13">
        <f>IFERROR(ROUND(FemalePayGapsByOccupationalSeriesAndRacialEthnicGroup[[#This Row],[ANHPI Female Occ Dist]]*FemalePayGapsByOccupationalSeriesAndRacialEthnicGroup[[#This Row],[ANHPI Female % White Male Avg Salary]],7),"")</f>
        <v>1.7210999999999999E-3</v>
      </c>
      <c r="E113">
        <f>IFERROR(ROUND(FemalePayGapsByOccupationalSeriesAndRacialEthnicGroup[[#This Row],[Black Female Occ Dist]]*FemalePayGapsByOccupationalSeriesAndRacialEthnicGroup[[#This Row],[Black Female % White Male Avg Salary]],7),"")</f>
        <v>3.1096000000000001E-3</v>
      </c>
      <c r="F113">
        <f>IFERROR(ROUND(FemalePayGapsByOccupationalSeriesAndRacialEthnicGroup[[#This Row],[Hispanic - Latino Female Occ Dist]]*FemalePayGapsByOccupationalSeriesAndRacialEthnicGroup[[#This Row],[Hispanic Latino % White Female Avg Salary]],7),"")</f>
        <v>2.098E-3</v>
      </c>
      <c r="G11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14" spans="1:7" ht="15.6" x14ac:dyDescent="0.3">
      <c r="A114" s="4" t="s">
        <v>124</v>
      </c>
      <c r="B114" s="4">
        <f>IFERROR(ROUND(FemalePayGapsByOccupationalSeriesAndRacialEthnicGroup[[#This Row],[White Female Occ Dist]]*FemalePayGapsByOccupationalSeriesAndRacialEthnicGroup[[#This Row],[White Female % White Male Avg Salary]],7),"")</f>
        <v>4.2697000000000004E-3</v>
      </c>
      <c r="C11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14">
        <f>IFERROR(ROUND(FemalePayGapsByOccupationalSeriesAndRacialEthnicGroup[[#This Row],[ANHPI Female Occ Dist]]*FemalePayGapsByOccupationalSeriesAndRacialEthnicGroup[[#This Row],[ANHPI Female % White Male Avg Salary]],7),"")</f>
        <v>2.1854000000000001E-3</v>
      </c>
      <c r="E114">
        <f>IFERROR(ROUND(FemalePayGapsByOccupationalSeriesAndRacialEthnicGroup[[#This Row],[Black Female Occ Dist]]*FemalePayGapsByOccupationalSeriesAndRacialEthnicGroup[[#This Row],[Black Female % White Male Avg Salary]],7),"")</f>
        <v>8.2549999999999995E-4</v>
      </c>
      <c r="F114">
        <f>IFERROR(ROUND(FemalePayGapsByOccupationalSeriesAndRacialEthnicGroup[[#This Row],[Hispanic - Latino Female Occ Dist]]*FemalePayGapsByOccupationalSeriesAndRacialEthnicGroup[[#This Row],[Hispanic Latino % White Female Avg Salary]],7),"")</f>
        <v>1.3527999999999999E-3</v>
      </c>
      <c r="G11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15" spans="1:7" ht="15.6" x14ac:dyDescent="0.3">
      <c r="A115" s="4" t="s">
        <v>125</v>
      </c>
      <c r="B115" s="4">
        <f>IFERROR(ROUND(FemalePayGapsByOccupationalSeriesAndRacialEthnicGroup[[#This Row],[White Female Occ Dist]]*FemalePayGapsByOccupationalSeriesAndRacialEthnicGroup[[#This Row],[White Female % White Male Avg Salary]],7),"")</f>
        <v>2.1851000000000001E-3</v>
      </c>
      <c r="C11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15">
        <f>IFERROR(ROUND(FemalePayGapsByOccupationalSeriesAndRacialEthnicGroup[[#This Row],[ANHPI Female Occ Dist]]*FemalePayGapsByOccupationalSeriesAndRacialEthnicGroup[[#This Row],[ANHPI Female % White Male Avg Salary]],7),"")</f>
        <v>1.921E-3</v>
      </c>
      <c r="E115">
        <f>IFERROR(ROUND(FemalePayGapsByOccupationalSeriesAndRacialEthnicGroup[[#This Row],[Black Female Occ Dist]]*FemalePayGapsByOccupationalSeriesAndRacialEthnicGroup[[#This Row],[Black Female % White Male Avg Salary]],7),"")</f>
        <v>6.3670000000000003E-4</v>
      </c>
      <c r="F115">
        <f>IFERROR(ROUND(FemalePayGapsByOccupationalSeriesAndRacialEthnicGroup[[#This Row],[Hispanic - Latino Female Occ Dist]]*FemalePayGapsByOccupationalSeriesAndRacialEthnicGroup[[#This Row],[Hispanic Latino % White Female Avg Salary]],7),"")</f>
        <v>9.8189999999999996E-4</v>
      </c>
      <c r="G11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16" spans="1:7" ht="15.6" x14ac:dyDescent="0.3">
      <c r="A116" s="4" t="s">
        <v>126</v>
      </c>
      <c r="B116" s="4">
        <f>IFERROR(ROUND(FemalePayGapsByOccupationalSeriesAndRacialEthnicGroup[[#This Row],[White Female Occ Dist]]*FemalePayGapsByOccupationalSeriesAndRacialEthnicGroup[[#This Row],[White Female % White Male Avg Salary]],7),"")</f>
        <v>2.7770999999999998E-3</v>
      </c>
      <c r="C11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16">
        <f>IFERROR(ROUND(FemalePayGapsByOccupationalSeriesAndRacialEthnicGroup[[#This Row],[ANHPI Female Occ Dist]]*FemalePayGapsByOccupationalSeriesAndRacialEthnicGroup[[#This Row],[ANHPI Female % White Male Avg Salary]],7),"")</f>
        <v>2.8766999999999998E-3</v>
      </c>
      <c r="E116">
        <f>IFERROR(ROUND(FemalePayGapsByOccupationalSeriesAndRacialEthnicGroup[[#This Row],[Black Female Occ Dist]]*FemalePayGapsByOccupationalSeriesAndRacialEthnicGroup[[#This Row],[Black Female % White Male Avg Salary]],7),"")</f>
        <v>5.285E-4</v>
      </c>
      <c r="F116">
        <f>IFERROR(ROUND(FemalePayGapsByOccupationalSeriesAndRacialEthnicGroup[[#This Row],[Hispanic - Latino Female Occ Dist]]*FemalePayGapsByOccupationalSeriesAndRacialEthnicGroup[[#This Row],[Hispanic Latino % White Female Avg Salary]],7),"")</f>
        <v>1.2022000000000001E-3</v>
      </c>
      <c r="G11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17" spans="1:7" ht="15.6" x14ac:dyDescent="0.3">
      <c r="A117" s="4" t="s">
        <v>127</v>
      </c>
      <c r="B117" s="4">
        <f>IFERROR(ROUND(FemalePayGapsByOccupationalSeriesAndRacialEthnicGroup[[#This Row],[White Female Occ Dist]]*FemalePayGapsByOccupationalSeriesAndRacialEthnicGroup[[#This Row],[White Female % White Male Avg Salary]],7),"")</f>
        <v>1.462E-4</v>
      </c>
      <c r="C11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1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17">
        <f>IFERROR(ROUND(FemalePayGapsByOccupationalSeriesAndRacialEthnicGroup[[#This Row],[Black Female Occ Dist]]*FemalePayGapsByOccupationalSeriesAndRacialEthnicGroup[[#This Row],[Black Female % White Male Avg Salary]],7),"")</f>
        <v>2.286E-4</v>
      </c>
      <c r="F11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1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18" spans="1:7" ht="15.6" x14ac:dyDescent="0.3">
      <c r="A118" s="4" t="s">
        <v>128</v>
      </c>
      <c r="B118" s="4">
        <f>IFERROR(ROUND(FemalePayGapsByOccupationalSeriesAndRacialEthnicGroup[[#This Row],[White Female Occ Dist]]*FemalePayGapsByOccupationalSeriesAndRacialEthnicGroup[[#This Row],[White Female % White Male Avg Salary]],7),"")</f>
        <v>1.3112E-3</v>
      </c>
      <c r="C11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1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18">
        <f>IFERROR(ROUND(FemalePayGapsByOccupationalSeriesAndRacialEthnicGroup[[#This Row],[Black Female Occ Dist]]*FemalePayGapsByOccupationalSeriesAndRacialEthnicGroup[[#This Row],[Black Female % White Male Avg Salary]],7),"")</f>
        <v>5.1849999999999997E-4</v>
      </c>
      <c r="F118">
        <f>IFERROR(ROUND(FemalePayGapsByOccupationalSeriesAndRacialEthnicGroup[[#This Row],[Hispanic - Latino Female Occ Dist]]*FemalePayGapsByOccupationalSeriesAndRacialEthnicGroup[[#This Row],[Hispanic Latino % White Female Avg Salary]],7),"")</f>
        <v>7.1750000000000004E-4</v>
      </c>
      <c r="G11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19" spans="1:7" ht="15.6" x14ac:dyDescent="0.3">
      <c r="A119" s="4" t="s">
        <v>129</v>
      </c>
      <c r="B119" s="4">
        <f>IFERROR(ROUND(FemalePayGapsByOccupationalSeriesAndRacialEthnicGroup[[#This Row],[White Female Occ Dist]]*FemalePayGapsByOccupationalSeriesAndRacialEthnicGroup[[#This Row],[White Female % White Male Avg Salary]],7),"")</f>
        <v>1.2727999999999999E-3</v>
      </c>
      <c r="C11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1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19">
        <f>IFERROR(ROUND(FemalePayGapsByOccupationalSeriesAndRacialEthnicGroup[[#This Row],[Black Female Occ Dist]]*FemalePayGapsByOccupationalSeriesAndRacialEthnicGroup[[#This Row],[Black Female % White Male Avg Salary]],7),"")</f>
        <v>5.6499999999999996E-4</v>
      </c>
      <c r="F11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1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20" spans="1:7" ht="15.6" x14ac:dyDescent="0.3">
      <c r="A120" s="4" t="s">
        <v>130</v>
      </c>
      <c r="B120" s="4">
        <f>IFERROR(ROUND(FemalePayGapsByOccupationalSeriesAndRacialEthnicGroup[[#This Row],[White Female Occ Dist]]*FemalePayGapsByOccupationalSeriesAndRacialEthnicGroup[[#This Row],[White Female % White Male Avg Salary]],7),"")</f>
        <v>7.6371E-3</v>
      </c>
      <c r="C120">
        <f>IFERROR(ROUND(FemalePayGapsByOccupationalSeriesAndRacialEthnicGroup[[#This Row],[AIAN Female Occ Dist]]*FemalePayGapsByOccupationalSeriesAndRacialEthnicGroup[[#This Row],[AIAN Female % White Male Avg Salary]],7),"")</f>
        <v>3.1790400000000003E-2</v>
      </c>
      <c r="D120">
        <f>IFERROR(ROUND(FemalePayGapsByOccupationalSeriesAndRacialEthnicGroup[[#This Row],[ANHPI Female Occ Dist]]*FemalePayGapsByOccupationalSeriesAndRacialEthnicGroup[[#This Row],[ANHPI Female % White Male Avg Salary]],7),"")</f>
        <v>6.9582999999999997E-3</v>
      </c>
      <c r="E120">
        <f>IFERROR(ROUND(FemalePayGapsByOccupationalSeriesAndRacialEthnicGroup[[#This Row],[Black Female Occ Dist]]*FemalePayGapsByOccupationalSeriesAndRacialEthnicGroup[[#This Row],[Black Female % White Male Avg Salary]],7),"")</f>
        <v>1.0075199999999999E-2</v>
      </c>
      <c r="F120">
        <f>IFERROR(ROUND(FemalePayGapsByOccupationalSeriesAndRacialEthnicGroup[[#This Row],[Hispanic - Latino Female Occ Dist]]*FemalePayGapsByOccupationalSeriesAndRacialEthnicGroup[[#This Row],[Hispanic Latino % White Female Avg Salary]],7),"")</f>
        <v>8.4262999999999994E-3</v>
      </c>
      <c r="G120">
        <f>IFERROR(ROUND(FemalePayGapsByOccupationalSeriesAndRacialEthnicGroup[[#This Row],[Other Female Occ Dist]]*FemalePayGapsByOccupationalSeriesAndRacialEthnicGroup[[#This Row],[Other Female % White Male Salary]],7),"")</f>
        <v>7.1837999999999997E-3</v>
      </c>
    </row>
    <row r="121" spans="1:7" ht="15.6" x14ac:dyDescent="0.3">
      <c r="A121" s="4" t="s">
        <v>131</v>
      </c>
      <c r="B121" s="4">
        <f>IFERROR(ROUND(FemalePayGapsByOccupationalSeriesAndRacialEthnicGroup[[#This Row],[White Female Occ Dist]]*FemalePayGapsByOccupationalSeriesAndRacialEthnicGroup[[#This Row],[White Female % White Male Avg Salary]],7),"")</f>
        <v>4.7444000000000002E-3</v>
      </c>
      <c r="C121">
        <f>IFERROR(ROUND(FemalePayGapsByOccupationalSeriesAndRacialEthnicGroup[[#This Row],[AIAN Female Occ Dist]]*FemalePayGapsByOccupationalSeriesAndRacialEthnicGroup[[#This Row],[AIAN Female % White Male Avg Salary]],7),"")</f>
        <v>8.7349000000000003E-3</v>
      </c>
      <c r="D121">
        <f>IFERROR(ROUND(FemalePayGapsByOccupationalSeriesAndRacialEthnicGroup[[#This Row],[ANHPI Female Occ Dist]]*FemalePayGapsByOccupationalSeriesAndRacialEthnicGroup[[#This Row],[ANHPI Female % White Male Avg Salary]],7),"")</f>
        <v>1.0988299999999999E-2</v>
      </c>
      <c r="E121">
        <f>IFERROR(ROUND(FemalePayGapsByOccupationalSeriesAndRacialEthnicGroup[[#This Row],[Black Female Occ Dist]]*FemalePayGapsByOccupationalSeriesAndRacialEthnicGroup[[#This Row],[Black Female % White Male Avg Salary]],7),"")</f>
        <v>2.6373999999999998E-3</v>
      </c>
      <c r="F121">
        <f>IFERROR(ROUND(FemalePayGapsByOccupationalSeriesAndRacialEthnicGroup[[#This Row],[Hispanic - Latino Female Occ Dist]]*FemalePayGapsByOccupationalSeriesAndRacialEthnicGroup[[#This Row],[Hispanic Latino % White Female Avg Salary]],7),"")</f>
        <v>4.6167999999999999E-3</v>
      </c>
      <c r="G12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22" spans="1:7" ht="15.6" x14ac:dyDescent="0.3">
      <c r="A122" s="4" t="s">
        <v>132</v>
      </c>
      <c r="B122" s="4">
        <f>IFERROR(ROUND(FemalePayGapsByOccupationalSeriesAndRacialEthnicGroup[[#This Row],[White Female Occ Dist]]*FemalePayGapsByOccupationalSeriesAndRacialEthnicGroup[[#This Row],[White Female % White Male Avg Salary]],7),"")</f>
        <v>1.7064999999999999E-3</v>
      </c>
      <c r="C122">
        <f>IFERROR(ROUND(FemalePayGapsByOccupationalSeriesAndRacialEthnicGroup[[#This Row],[AIAN Female Occ Dist]]*FemalePayGapsByOccupationalSeriesAndRacialEthnicGroup[[#This Row],[AIAN Female % White Male Avg Salary]],7),"")</f>
        <v>5.7044000000000001E-3</v>
      </c>
      <c r="D122">
        <f>IFERROR(ROUND(FemalePayGapsByOccupationalSeriesAndRacialEthnicGroup[[#This Row],[ANHPI Female Occ Dist]]*FemalePayGapsByOccupationalSeriesAndRacialEthnicGroup[[#This Row],[ANHPI Female % White Male Avg Salary]],7),"")</f>
        <v>2.1825E-3</v>
      </c>
      <c r="E122">
        <f>IFERROR(ROUND(FemalePayGapsByOccupationalSeriesAndRacialEthnicGroup[[#This Row],[Black Female Occ Dist]]*FemalePayGapsByOccupationalSeriesAndRacialEthnicGroup[[#This Row],[Black Female % White Male Avg Salary]],7),"")</f>
        <v>2.5772E-3</v>
      </c>
      <c r="F122">
        <f>IFERROR(ROUND(FemalePayGapsByOccupationalSeriesAndRacialEthnicGroup[[#This Row],[Hispanic - Latino Female Occ Dist]]*FemalePayGapsByOccupationalSeriesAndRacialEthnicGroup[[#This Row],[Hispanic Latino % White Female Avg Salary]],7),"")</f>
        <v>2.3609E-3</v>
      </c>
      <c r="G12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23" spans="1:7" ht="15.6" x14ac:dyDescent="0.3">
      <c r="A123" s="4" t="s">
        <v>133</v>
      </c>
      <c r="B123" s="4">
        <f>IFERROR(ROUND(FemalePayGapsByOccupationalSeriesAndRacialEthnicGroup[[#This Row],[White Female Occ Dist]]*FemalePayGapsByOccupationalSeriesAndRacialEthnicGroup[[#This Row],[White Female % White Male Avg Salary]],7),"")</f>
        <v>3.325E-4</v>
      </c>
      <c r="C12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2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2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2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2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24" spans="1:7" ht="15.6" x14ac:dyDescent="0.3">
      <c r="A124" s="4" t="s">
        <v>134</v>
      </c>
      <c r="B124" s="4">
        <f>IFERROR(ROUND(FemalePayGapsByOccupationalSeriesAndRacialEthnicGroup[[#This Row],[White Female Occ Dist]]*FemalePayGapsByOccupationalSeriesAndRacialEthnicGroup[[#This Row],[White Female % White Male Avg Salary]],7),"")</f>
        <v>4.5538999999999996E-3</v>
      </c>
      <c r="C124">
        <f>IFERROR(ROUND(FemalePayGapsByOccupationalSeriesAndRacialEthnicGroup[[#This Row],[AIAN Female Occ Dist]]*FemalePayGapsByOccupationalSeriesAndRacialEthnicGroup[[#This Row],[AIAN Female % White Male Avg Salary]],7),"")</f>
        <v>5.5243000000000002E-3</v>
      </c>
      <c r="D124">
        <f>IFERROR(ROUND(FemalePayGapsByOccupationalSeriesAndRacialEthnicGroup[[#This Row],[ANHPI Female Occ Dist]]*FemalePayGapsByOccupationalSeriesAndRacialEthnicGroup[[#This Row],[ANHPI Female % White Male Avg Salary]],7),"")</f>
        <v>2.5057999999999999E-3</v>
      </c>
      <c r="E124">
        <f>IFERROR(ROUND(FemalePayGapsByOccupationalSeriesAndRacialEthnicGroup[[#This Row],[Black Female Occ Dist]]*FemalePayGapsByOccupationalSeriesAndRacialEthnicGroup[[#This Row],[Black Female % White Male Avg Salary]],7),"")</f>
        <v>1.7871E-3</v>
      </c>
      <c r="F124">
        <f>IFERROR(ROUND(FemalePayGapsByOccupationalSeriesAndRacialEthnicGroup[[#This Row],[Hispanic - Latino Female Occ Dist]]*FemalePayGapsByOccupationalSeriesAndRacialEthnicGroup[[#This Row],[Hispanic Latino % White Female Avg Salary]],7),"")</f>
        <v>2.3719000000000001E-3</v>
      </c>
      <c r="G12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25" spans="1:7" ht="15.6" x14ac:dyDescent="0.3">
      <c r="A125" s="4" t="s">
        <v>135</v>
      </c>
      <c r="B125" s="4">
        <f>IFERROR(ROUND(FemalePayGapsByOccupationalSeriesAndRacialEthnicGroup[[#This Row],[White Female Occ Dist]]*FemalePayGapsByOccupationalSeriesAndRacialEthnicGroup[[#This Row],[White Female % White Male Avg Salary]],7),"")</f>
        <v>3.0509999999999999E-4</v>
      </c>
      <c r="C12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2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2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2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2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26" spans="1:7" ht="15.6" x14ac:dyDescent="0.3">
      <c r="A126" s="4" t="s">
        <v>136</v>
      </c>
      <c r="B126" s="4">
        <f>IFERROR(ROUND(FemalePayGapsByOccupationalSeriesAndRacialEthnicGroup[[#This Row],[White Female Occ Dist]]*FemalePayGapsByOccupationalSeriesAndRacialEthnicGroup[[#This Row],[White Female % White Male Avg Salary]],7),"")</f>
        <v>3.0401E-3</v>
      </c>
      <c r="C12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26">
        <f>IFERROR(ROUND(FemalePayGapsByOccupationalSeriesAndRacialEthnicGroup[[#This Row],[ANHPI Female Occ Dist]]*FemalePayGapsByOccupationalSeriesAndRacialEthnicGroup[[#This Row],[ANHPI Female % White Male Avg Salary]],7),"")</f>
        <v>3.2025999999999999E-3</v>
      </c>
      <c r="E126">
        <f>IFERROR(ROUND(FemalePayGapsByOccupationalSeriesAndRacialEthnicGroup[[#This Row],[Black Female Occ Dist]]*FemalePayGapsByOccupationalSeriesAndRacialEthnicGroup[[#This Row],[Black Female % White Male Avg Salary]],7),"")</f>
        <v>2.6435E-3</v>
      </c>
      <c r="F126">
        <f>IFERROR(ROUND(FemalePayGapsByOccupationalSeriesAndRacialEthnicGroup[[#This Row],[Hispanic - Latino Female Occ Dist]]*FemalePayGapsByOccupationalSeriesAndRacialEthnicGroup[[#This Row],[Hispanic Latino % White Female Avg Salary]],7),"")</f>
        <v>3.0219000000000001E-3</v>
      </c>
      <c r="G12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27" spans="1:7" ht="15.6" x14ac:dyDescent="0.3">
      <c r="A127" s="4" t="s">
        <v>137</v>
      </c>
      <c r="B127" s="4">
        <f>IFERROR(ROUND(FemalePayGapsByOccupationalSeriesAndRacialEthnicGroup[[#This Row],[White Female Occ Dist]]*FemalePayGapsByOccupationalSeriesAndRacialEthnicGroup[[#This Row],[White Female % White Male Avg Salary]],7),"")</f>
        <v>1.403E-4</v>
      </c>
      <c r="C12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2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27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2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2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28" spans="1:7" ht="15.6" x14ac:dyDescent="0.3">
      <c r="A128" s="4" t="s">
        <v>138</v>
      </c>
      <c r="B128" s="4">
        <f>IFERROR(ROUND(FemalePayGapsByOccupationalSeriesAndRacialEthnicGroup[[#This Row],[White Female Occ Dist]]*FemalePayGapsByOccupationalSeriesAndRacialEthnicGroup[[#This Row],[White Female % White Male Avg Salary]],7),"")</f>
        <v>1.01019E-2</v>
      </c>
      <c r="C128">
        <f>IFERROR(ROUND(FemalePayGapsByOccupationalSeriesAndRacialEthnicGroup[[#This Row],[AIAN Female Occ Dist]]*FemalePayGapsByOccupationalSeriesAndRacialEthnicGroup[[#This Row],[AIAN Female % White Male Avg Salary]],7),"")</f>
        <v>4.9566999999999996E-3</v>
      </c>
      <c r="D128">
        <f>IFERROR(ROUND(FemalePayGapsByOccupationalSeriesAndRacialEthnicGroup[[#This Row],[ANHPI Female Occ Dist]]*FemalePayGapsByOccupationalSeriesAndRacialEthnicGroup[[#This Row],[ANHPI Female % White Male Avg Salary]],7),"")</f>
        <v>2.3038699999999999E-2</v>
      </c>
      <c r="E128">
        <f>IFERROR(ROUND(FemalePayGapsByOccupationalSeriesAndRacialEthnicGroup[[#This Row],[Black Female Occ Dist]]*FemalePayGapsByOccupationalSeriesAndRacialEthnicGroup[[#This Row],[Black Female % White Male Avg Salary]],7),"")</f>
        <v>3.6584E-3</v>
      </c>
      <c r="F128">
        <f>IFERROR(ROUND(FemalePayGapsByOccupationalSeriesAndRacialEthnicGroup[[#This Row],[Hispanic - Latino Female Occ Dist]]*FemalePayGapsByOccupationalSeriesAndRacialEthnicGroup[[#This Row],[Hispanic Latino % White Female Avg Salary]],7),"")</f>
        <v>3.6443000000000001E-3</v>
      </c>
      <c r="G128">
        <f>IFERROR(ROUND(FemalePayGapsByOccupationalSeriesAndRacialEthnicGroup[[#This Row],[Other Female Occ Dist]]*FemalePayGapsByOccupationalSeriesAndRacialEthnicGroup[[#This Row],[Other Female % White Male Salary]],7),"")</f>
        <v>5.0578999999999997E-3</v>
      </c>
    </row>
    <row r="129" spans="1:7" ht="15.6" x14ac:dyDescent="0.3">
      <c r="A129" s="4" t="s">
        <v>139</v>
      </c>
      <c r="B129" s="4">
        <f>IFERROR(ROUND(FemalePayGapsByOccupationalSeriesAndRacialEthnicGroup[[#This Row],[White Female Occ Dist]]*FemalePayGapsByOccupationalSeriesAndRacialEthnicGroup[[#This Row],[White Female % White Male Avg Salary]],7),"")</f>
        <v>5.6160000000000003E-3</v>
      </c>
      <c r="C129">
        <f>IFERROR(ROUND(FemalePayGapsByOccupationalSeriesAndRacialEthnicGroup[[#This Row],[AIAN Female Occ Dist]]*FemalePayGapsByOccupationalSeriesAndRacialEthnicGroup[[#This Row],[AIAN Female % White Male Avg Salary]],7),"")</f>
        <v>1.4965300000000001E-2</v>
      </c>
      <c r="D129">
        <f>IFERROR(ROUND(FemalePayGapsByOccupationalSeriesAndRacialEthnicGroup[[#This Row],[ANHPI Female Occ Dist]]*FemalePayGapsByOccupationalSeriesAndRacialEthnicGroup[[#This Row],[ANHPI Female % White Male Avg Salary]],7),"")</f>
        <v>6.8831999999999999E-3</v>
      </c>
      <c r="E129">
        <f>IFERROR(ROUND(FemalePayGapsByOccupationalSeriesAndRacialEthnicGroup[[#This Row],[Black Female Occ Dist]]*FemalePayGapsByOccupationalSeriesAndRacialEthnicGroup[[#This Row],[Black Female % White Male Avg Salary]],7),"")</f>
        <v>5.0102999999999996E-3</v>
      </c>
      <c r="F129">
        <f>IFERROR(ROUND(FemalePayGapsByOccupationalSeriesAndRacialEthnicGroup[[#This Row],[Hispanic - Latino Female Occ Dist]]*FemalePayGapsByOccupationalSeriesAndRacialEthnicGroup[[#This Row],[Hispanic Latino % White Female Avg Salary]],7),"")</f>
        <v>6.0254000000000002E-3</v>
      </c>
      <c r="G129">
        <f>IFERROR(ROUND(FemalePayGapsByOccupationalSeriesAndRacialEthnicGroup[[#This Row],[Other Female Occ Dist]]*FemalePayGapsByOccupationalSeriesAndRacialEthnicGroup[[#This Row],[Other Female % White Male Salary]],7),"")</f>
        <v>4.5821000000000004E-3</v>
      </c>
    </row>
    <row r="130" spans="1:7" ht="15.6" x14ac:dyDescent="0.3">
      <c r="A130" s="4" t="s">
        <v>140</v>
      </c>
      <c r="B130" s="4">
        <f>IFERROR(ROUND(FemalePayGapsByOccupationalSeriesAndRacialEthnicGroup[[#This Row],[White Female Occ Dist]]*FemalePayGapsByOccupationalSeriesAndRacialEthnicGroup[[#This Row],[White Female % White Male Avg Salary]],7),"")</f>
        <v>8.83E-4</v>
      </c>
      <c r="C13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30">
        <f>IFERROR(ROUND(FemalePayGapsByOccupationalSeriesAndRacialEthnicGroup[[#This Row],[ANHPI Female Occ Dist]]*FemalePayGapsByOccupationalSeriesAndRacialEthnicGroup[[#This Row],[ANHPI Female % White Male Avg Salary]],7),"")</f>
        <v>1.8923E-3</v>
      </c>
      <c r="E130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3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3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31" spans="1:7" ht="15.6" x14ac:dyDescent="0.3">
      <c r="A131" s="4" t="s">
        <v>141</v>
      </c>
      <c r="B131" s="4">
        <f>IFERROR(ROUND(FemalePayGapsByOccupationalSeriesAndRacialEthnicGroup[[#This Row],[White Female Occ Dist]]*FemalePayGapsByOccupationalSeriesAndRacialEthnicGroup[[#This Row],[White Female % White Male Avg Salary]],7),"")</f>
        <v>3.0179999999999998E-3</v>
      </c>
      <c r="C13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3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31">
        <f>IFERROR(ROUND(FemalePayGapsByOccupationalSeriesAndRacialEthnicGroup[[#This Row],[Black Female Occ Dist]]*FemalePayGapsByOccupationalSeriesAndRacialEthnicGroup[[#This Row],[Black Female % White Male Avg Salary]],7),"")</f>
        <v>4.6789999999999999E-4</v>
      </c>
      <c r="F13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3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32" spans="1:7" ht="15.6" x14ac:dyDescent="0.3">
      <c r="A132" s="4" t="s">
        <v>142</v>
      </c>
      <c r="B132" s="4">
        <f>IFERROR(ROUND(FemalePayGapsByOccupationalSeriesAndRacialEthnicGroup[[#This Row],[White Female Occ Dist]]*FemalePayGapsByOccupationalSeriesAndRacialEthnicGroup[[#This Row],[White Female % White Male Avg Salary]],7),"")</f>
        <v>1.3009999999999999E-4</v>
      </c>
      <c r="C13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3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32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3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3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33" spans="1:7" ht="15.6" x14ac:dyDescent="0.3">
      <c r="A133" s="4" t="s">
        <v>143</v>
      </c>
      <c r="B133" s="4">
        <f>IFERROR(ROUND(FemalePayGapsByOccupationalSeriesAndRacialEthnicGroup[[#This Row],[White Female Occ Dist]]*FemalePayGapsByOccupationalSeriesAndRacialEthnicGroup[[#This Row],[White Female % White Male Avg Salary]],7),"")</f>
        <v>2.7349999999999998E-4</v>
      </c>
      <c r="C13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3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3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3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3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34" spans="1:7" ht="15.6" x14ac:dyDescent="0.3">
      <c r="A134" s="4" t="s">
        <v>144</v>
      </c>
      <c r="B134" s="4">
        <f>IFERROR(ROUND(FemalePayGapsByOccupationalSeriesAndRacialEthnicGroup[[#This Row],[White Female Occ Dist]]*FemalePayGapsByOccupationalSeriesAndRacialEthnicGroup[[#This Row],[White Female % White Male Avg Salary]],7),"")</f>
        <v>6.6790000000000003E-4</v>
      </c>
      <c r="C13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3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34">
        <f>IFERROR(ROUND(FemalePayGapsByOccupationalSeriesAndRacialEthnicGroup[[#This Row],[Black Female Occ Dist]]*FemalePayGapsByOccupationalSeriesAndRacialEthnicGroup[[#This Row],[Black Female % White Male Avg Salary]],7),"")</f>
        <v>7.85E-4</v>
      </c>
      <c r="F13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3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35" spans="1:7" ht="15.6" x14ac:dyDescent="0.3">
      <c r="A135" s="4" t="s">
        <v>145</v>
      </c>
      <c r="B135" s="4">
        <f>IFERROR(ROUND(FemalePayGapsByOccupationalSeriesAndRacialEthnicGroup[[#This Row],[White Female Occ Dist]]*FemalePayGapsByOccupationalSeriesAndRacialEthnicGroup[[#This Row],[White Female % White Male Avg Salary]],7),"")</f>
        <v>4.0900000000000002E-4</v>
      </c>
      <c r="C13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3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3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3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3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36" spans="1:7" ht="15.6" x14ac:dyDescent="0.3">
      <c r="A136" s="4" t="s">
        <v>146</v>
      </c>
      <c r="B136" s="4">
        <f>IFERROR(ROUND(FemalePayGapsByOccupationalSeriesAndRacialEthnicGroup[[#This Row],[White Female Occ Dist]]*FemalePayGapsByOccupationalSeriesAndRacialEthnicGroup[[#This Row],[White Female % White Male Avg Salary]],7),"")</f>
        <v>5.2878999999999999E-3</v>
      </c>
      <c r="C136">
        <f>IFERROR(ROUND(FemalePayGapsByOccupationalSeriesAndRacialEthnicGroup[[#This Row],[AIAN Female Occ Dist]]*FemalePayGapsByOccupationalSeriesAndRacialEthnicGroup[[#This Row],[AIAN Female % White Male Avg Salary]],7),"")</f>
        <v>1.08126E-2</v>
      </c>
      <c r="D136">
        <f>IFERROR(ROUND(FemalePayGapsByOccupationalSeriesAndRacialEthnicGroup[[#This Row],[ANHPI Female Occ Dist]]*FemalePayGapsByOccupationalSeriesAndRacialEthnicGroup[[#This Row],[ANHPI Female % White Male Avg Salary]],7),"")</f>
        <v>4.0093999999999998E-3</v>
      </c>
      <c r="E136">
        <f>IFERROR(ROUND(FemalePayGapsByOccupationalSeriesAndRacialEthnicGroup[[#This Row],[Black Female Occ Dist]]*FemalePayGapsByOccupationalSeriesAndRacialEthnicGroup[[#This Row],[Black Female % White Male Avg Salary]],7),"")</f>
        <v>4.2126000000000004E-3</v>
      </c>
      <c r="F136">
        <f>IFERROR(ROUND(FemalePayGapsByOccupationalSeriesAndRacialEthnicGroup[[#This Row],[Hispanic - Latino Female Occ Dist]]*FemalePayGapsByOccupationalSeriesAndRacialEthnicGroup[[#This Row],[Hispanic Latino % White Female Avg Salary]],7),"")</f>
        <v>3.4623000000000002E-3</v>
      </c>
      <c r="G136">
        <f>IFERROR(ROUND(FemalePayGapsByOccupationalSeriesAndRacialEthnicGroup[[#This Row],[Other Female Occ Dist]]*FemalePayGapsByOccupationalSeriesAndRacialEthnicGroup[[#This Row],[Other Female % White Male Salary]],7),"")</f>
        <v>5.5122000000000001E-3</v>
      </c>
    </row>
    <row r="137" spans="1:7" ht="15.6" x14ac:dyDescent="0.3">
      <c r="A137" s="4" t="s">
        <v>147</v>
      </c>
      <c r="B137" s="4">
        <f>IFERROR(ROUND(FemalePayGapsByOccupationalSeriesAndRacialEthnicGroup[[#This Row],[White Female Occ Dist]]*FemalePayGapsByOccupationalSeriesAndRacialEthnicGroup[[#This Row],[White Female % White Male Avg Salary]],7),"")</f>
        <v>4.461E-4</v>
      </c>
      <c r="C13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3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37">
        <f>IFERROR(ROUND(FemalePayGapsByOccupationalSeriesAndRacialEthnicGroup[[#This Row],[Black Female Occ Dist]]*FemalePayGapsByOccupationalSeriesAndRacialEthnicGroup[[#This Row],[Black Female % White Male Avg Salary]],7),"")</f>
        <v>3.7209999999999999E-4</v>
      </c>
      <c r="F13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3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38" spans="1:7" ht="15.6" x14ac:dyDescent="0.3">
      <c r="A138" s="4" t="s">
        <v>148</v>
      </c>
      <c r="B138" s="4">
        <f>IFERROR(ROUND(FemalePayGapsByOccupationalSeriesAndRacialEthnicGroup[[#This Row],[White Female Occ Dist]]*FemalePayGapsByOccupationalSeriesAndRacialEthnicGroup[[#This Row],[White Female % White Male Avg Salary]],7),"")</f>
        <v>5.3499999999999999E-5</v>
      </c>
      <c r="C13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3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38">
        <f>IFERROR(ROUND(FemalePayGapsByOccupationalSeriesAndRacialEthnicGroup[[#This Row],[Black Female Occ Dist]]*FemalePayGapsByOccupationalSeriesAndRacialEthnicGroup[[#This Row],[Black Female % White Male Avg Salary]],7),"")</f>
        <v>1.047E-4</v>
      </c>
      <c r="F13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3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39" spans="1:7" ht="15.6" x14ac:dyDescent="0.3">
      <c r="A139" s="4" t="s">
        <v>149</v>
      </c>
      <c r="B139" s="4">
        <f>IFERROR(ROUND(FemalePayGapsByOccupationalSeriesAndRacialEthnicGroup[[#This Row],[White Female Occ Dist]]*FemalePayGapsByOccupationalSeriesAndRacialEthnicGroup[[#This Row],[White Female % White Male Avg Salary]],7),"")</f>
        <v>5.2376999999999996E-3</v>
      </c>
      <c r="C139">
        <f>IFERROR(ROUND(FemalePayGapsByOccupationalSeriesAndRacialEthnicGroup[[#This Row],[AIAN Female Occ Dist]]*FemalePayGapsByOccupationalSeriesAndRacialEthnicGroup[[#This Row],[AIAN Female % White Male Avg Salary]],7),"")</f>
        <v>3.62397E-2</v>
      </c>
      <c r="D139">
        <f>IFERROR(ROUND(FemalePayGapsByOccupationalSeriesAndRacialEthnicGroup[[#This Row],[ANHPI Female Occ Dist]]*FemalePayGapsByOccupationalSeriesAndRacialEthnicGroup[[#This Row],[ANHPI Female % White Male Avg Salary]],7),"")</f>
        <v>4.8545000000000003E-3</v>
      </c>
      <c r="E139">
        <f>IFERROR(ROUND(FemalePayGapsByOccupationalSeriesAndRacialEthnicGroup[[#This Row],[Black Female Occ Dist]]*FemalePayGapsByOccupationalSeriesAndRacialEthnicGroup[[#This Row],[Black Female % White Male Avg Salary]],7),"")</f>
        <v>5.5268000000000001E-3</v>
      </c>
      <c r="F139">
        <f>IFERROR(ROUND(FemalePayGapsByOccupationalSeriesAndRacialEthnicGroup[[#This Row],[Hispanic - Latino Female Occ Dist]]*FemalePayGapsByOccupationalSeriesAndRacialEthnicGroup[[#This Row],[Hispanic Latino % White Female Avg Salary]],7),"")</f>
        <v>4.0343000000000002E-3</v>
      </c>
      <c r="G13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40" spans="1:7" ht="15.6" x14ac:dyDescent="0.3">
      <c r="A140" s="4" t="s">
        <v>150</v>
      </c>
      <c r="B140" s="4">
        <f>IFERROR(ROUND(FemalePayGapsByOccupationalSeriesAndRacialEthnicGroup[[#This Row],[White Female Occ Dist]]*FemalePayGapsByOccupationalSeriesAndRacialEthnicGroup[[#This Row],[White Female % White Male Avg Salary]],7),"")</f>
        <v>2.8454799999999999E-2</v>
      </c>
      <c r="C140">
        <f>IFERROR(ROUND(FemalePayGapsByOccupationalSeriesAndRacialEthnicGroup[[#This Row],[AIAN Female Occ Dist]]*FemalePayGapsByOccupationalSeriesAndRacialEthnicGroup[[#This Row],[AIAN Female % White Male Avg Salary]],7),"")</f>
        <v>7.6880900000000002E-2</v>
      </c>
      <c r="D140">
        <f>IFERROR(ROUND(FemalePayGapsByOccupationalSeriesAndRacialEthnicGroup[[#This Row],[ANHPI Female Occ Dist]]*FemalePayGapsByOccupationalSeriesAndRacialEthnicGroup[[#This Row],[ANHPI Female % White Male Avg Salary]],7),"")</f>
        <v>2.1019199999999998E-2</v>
      </c>
      <c r="E140">
        <f>IFERROR(ROUND(FemalePayGapsByOccupationalSeriesAndRacialEthnicGroup[[#This Row],[Black Female Occ Dist]]*FemalePayGapsByOccupationalSeriesAndRacialEthnicGroup[[#This Row],[Black Female % White Male Avg Salary]],7),"")</f>
        <v>5.3837099999999999E-2</v>
      </c>
      <c r="F140">
        <f>IFERROR(ROUND(FemalePayGapsByOccupationalSeriesAndRacialEthnicGroup[[#This Row],[Hispanic - Latino Female Occ Dist]]*FemalePayGapsByOccupationalSeriesAndRacialEthnicGroup[[#This Row],[Hispanic Latino % White Female Avg Salary]],7),"")</f>
        <v>2.9230699999999998E-2</v>
      </c>
      <c r="G140">
        <f>IFERROR(ROUND(FemalePayGapsByOccupationalSeriesAndRacialEthnicGroup[[#This Row],[Other Female Occ Dist]]*FemalePayGapsByOccupationalSeriesAndRacialEthnicGroup[[#This Row],[Other Female % White Male Salary]],7),"")</f>
        <v>2.3739900000000001E-2</v>
      </c>
    </row>
    <row r="141" spans="1:7" ht="15.6" x14ac:dyDescent="0.3">
      <c r="A141" s="4" t="s">
        <v>151</v>
      </c>
      <c r="B141" s="4">
        <f>IFERROR(ROUND(FemalePayGapsByOccupationalSeriesAndRacialEthnicGroup[[#This Row],[White Female Occ Dist]]*FemalePayGapsByOccupationalSeriesAndRacialEthnicGroup[[#This Row],[White Female % White Male Avg Salary]],7),"")</f>
        <v>7.0240000000000005E-4</v>
      </c>
      <c r="C14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41">
        <f>IFERROR(ROUND(FemalePayGapsByOccupationalSeriesAndRacialEthnicGroup[[#This Row],[ANHPI Female Occ Dist]]*FemalePayGapsByOccupationalSeriesAndRacialEthnicGroup[[#This Row],[ANHPI Female % White Male Avg Salary]],7),"")</f>
        <v>1.9257E-3</v>
      </c>
      <c r="E141">
        <f>IFERROR(ROUND(FemalePayGapsByOccupationalSeriesAndRacialEthnicGroup[[#This Row],[Black Female Occ Dist]]*FemalePayGapsByOccupationalSeriesAndRacialEthnicGroup[[#This Row],[Black Female % White Male Avg Salary]],7),"")</f>
        <v>2.4800000000000001E-4</v>
      </c>
      <c r="F141">
        <f>IFERROR(ROUND(FemalePayGapsByOccupationalSeriesAndRacialEthnicGroup[[#This Row],[Hispanic - Latino Female Occ Dist]]*FemalePayGapsByOccupationalSeriesAndRacialEthnicGroup[[#This Row],[Hispanic Latino % White Female Avg Salary]],7),"")</f>
        <v>5.5449999999999998E-4</v>
      </c>
      <c r="G14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42" spans="1:7" ht="15.6" x14ac:dyDescent="0.3">
      <c r="A142" s="4" t="s">
        <v>152</v>
      </c>
      <c r="B142" s="4">
        <f>IFERROR(ROUND(FemalePayGapsByOccupationalSeriesAndRacialEthnicGroup[[#This Row],[White Female Occ Dist]]*FemalePayGapsByOccupationalSeriesAndRacialEthnicGroup[[#This Row],[White Female % White Male Avg Salary]],7),"")</f>
        <v>3.166E-3</v>
      </c>
      <c r="C142">
        <f>IFERROR(ROUND(FemalePayGapsByOccupationalSeriesAndRacialEthnicGroup[[#This Row],[AIAN Female Occ Dist]]*FemalePayGapsByOccupationalSeriesAndRacialEthnicGroup[[#This Row],[AIAN Female % White Male Avg Salary]],7),"")</f>
        <v>2.1260899999999999E-2</v>
      </c>
      <c r="D142">
        <f>IFERROR(ROUND(FemalePayGapsByOccupationalSeriesAndRacialEthnicGroup[[#This Row],[ANHPI Female Occ Dist]]*FemalePayGapsByOccupationalSeriesAndRacialEthnicGroup[[#This Row],[ANHPI Female % White Male Avg Salary]],7),"")</f>
        <v>4.8993999999999999E-3</v>
      </c>
      <c r="E142">
        <f>IFERROR(ROUND(FemalePayGapsByOccupationalSeriesAndRacialEthnicGroup[[#This Row],[Black Female Occ Dist]]*FemalePayGapsByOccupationalSeriesAndRacialEthnicGroup[[#This Row],[Black Female % White Male Avg Salary]],7),"")</f>
        <v>2.5149E-3</v>
      </c>
      <c r="F142">
        <f>IFERROR(ROUND(FemalePayGapsByOccupationalSeriesAndRacialEthnicGroup[[#This Row],[Hispanic - Latino Female Occ Dist]]*FemalePayGapsByOccupationalSeriesAndRacialEthnicGroup[[#This Row],[Hispanic Latino % White Female Avg Salary]],7),"")</f>
        <v>5.6235E-3</v>
      </c>
      <c r="G14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43" spans="1:7" ht="15.6" x14ac:dyDescent="0.3">
      <c r="A143" s="4" t="s">
        <v>153</v>
      </c>
      <c r="B143" s="4">
        <f>IFERROR(ROUND(FemalePayGapsByOccupationalSeriesAndRacialEthnicGroup[[#This Row],[White Female Occ Dist]]*FemalePayGapsByOccupationalSeriesAndRacialEthnicGroup[[#This Row],[White Female % White Male Avg Salary]],7),"")</f>
        <v>1.1803E-3</v>
      </c>
      <c r="C14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4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4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4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4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44" spans="1:7" ht="15.6" x14ac:dyDescent="0.3">
      <c r="A144" s="4" t="s">
        <v>154</v>
      </c>
      <c r="B144" s="4">
        <f>IFERROR(ROUND(FemalePayGapsByOccupationalSeriesAndRacialEthnicGroup[[#This Row],[White Female Occ Dist]]*FemalePayGapsByOccupationalSeriesAndRacialEthnicGroup[[#This Row],[White Female % White Male Avg Salary]],7),"")</f>
        <v>1.483E-4</v>
      </c>
      <c r="C14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4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4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4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4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45" spans="1:7" ht="15.6" x14ac:dyDescent="0.3">
      <c r="A145" s="4" t="s">
        <v>155</v>
      </c>
      <c r="B145" s="4">
        <f>IFERROR(ROUND(FemalePayGapsByOccupationalSeriesAndRacialEthnicGroup[[#This Row],[White Female Occ Dist]]*FemalePayGapsByOccupationalSeriesAndRacialEthnicGroup[[#This Row],[White Female % White Male Avg Salary]],7),"")</f>
        <v>2.8563E-3</v>
      </c>
      <c r="C14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45">
        <f>IFERROR(ROUND(FemalePayGapsByOccupationalSeriesAndRacialEthnicGroup[[#This Row],[ANHPI Female Occ Dist]]*FemalePayGapsByOccupationalSeriesAndRacialEthnicGroup[[#This Row],[ANHPI Female % White Male Avg Salary]],7),"")</f>
        <v>3.8639999999999998E-3</v>
      </c>
      <c r="E145">
        <f>IFERROR(ROUND(FemalePayGapsByOccupationalSeriesAndRacialEthnicGroup[[#This Row],[Black Female Occ Dist]]*FemalePayGapsByOccupationalSeriesAndRacialEthnicGroup[[#This Row],[Black Female % White Male Avg Salary]],7),"")</f>
        <v>5.1323999999999996E-3</v>
      </c>
      <c r="F145">
        <f>IFERROR(ROUND(FemalePayGapsByOccupationalSeriesAndRacialEthnicGroup[[#This Row],[Hispanic - Latino Female Occ Dist]]*FemalePayGapsByOccupationalSeriesAndRacialEthnicGroup[[#This Row],[Hispanic Latino % White Female Avg Salary]],7),"")</f>
        <v>1.5096E-3</v>
      </c>
      <c r="G14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46" spans="1:7" ht="15.6" x14ac:dyDescent="0.3">
      <c r="A146" s="4" t="s">
        <v>156</v>
      </c>
      <c r="B146" s="4">
        <f>IFERROR(ROUND(FemalePayGapsByOccupationalSeriesAndRacialEthnicGroup[[#This Row],[White Female Occ Dist]]*FemalePayGapsByOccupationalSeriesAndRacialEthnicGroup[[#This Row],[White Female % White Male Avg Salary]],7),"")</f>
        <v>8.451E-4</v>
      </c>
      <c r="C14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46">
        <f>IFERROR(ROUND(FemalePayGapsByOccupationalSeriesAndRacialEthnicGroup[[#This Row],[ANHPI Female Occ Dist]]*FemalePayGapsByOccupationalSeriesAndRacialEthnicGroup[[#This Row],[ANHPI Female % White Male Avg Salary]],7),"")</f>
        <v>5.4699999999999996E-4</v>
      </c>
      <c r="E146">
        <f>IFERROR(ROUND(FemalePayGapsByOccupationalSeriesAndRacialEthnicGroup[[#This Row],[Black Female Occ Dist]]*FemalePayGapsByOccupationalSeriesAndRacialEthnicGroup[[#This Row],[Black Female % White Male Avg Salary]],7),"")</f>
        <v>4.6809999999999999E-4</v>
      </c>
      <c r="F146">
        <f>IFERROR(ROUND(FemalePayGapsByOccupationalSeriesAndRacialEthnicGroup[[#This Row],[Hispanic - Latino Female Occ Dist]]*FemalePayGapsByOccupationalSeriesAndRacialEthnicGroup[[#This Row],[Hispanic Latino % White Female Avg Salary]],7),"")</f>
        <v>7.6099999999999996E-4</v>
      </c>
      <c r="G14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47" spans="1:7" ht="15.6" x14ac:dyDescent="0.3">
      <c r="A147" s="4" t="s">
        <v>157</v>
      </c>
      <c r="B147" s="4">
        <f>IFERROR(ROUND(FemalePayGapsByOccupationalSeriesAndRacialEthnicGroup[[#This Row],[White Female Occ Dist]]*FemalePayGapsByOccupationalSeriesAndRacialEthnicGroup[[#This Row],[White Female % White Male Avg Salary]],7),"")</f>
        <v>2.2732999999999998E-3</v>
      </c>
      <c r="C14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47">
        <f>IFERROR(ROUND(FemalePayGapsByOccupationalSeriesAndRacialEthnicGroup[[#This Row],[ANHPI Female Occ Dist]]*FemalePayGapsByOccupationalSeriesAndRacialEthnicGroup[[#This Row],[ANHPI Female % White Male Avg Salary]],7),"")</f>
        <v>4.9278999999999998E-3</v>
      </c>
      <c r="E147">
        <f>IFERROR(ROUND(FemalePayGapsByOccupationalSeriesAndRacialEthnicGroup[[#This Row],[Black Female Occ Dist]]*FemalePayGapsByOccupationalSeriesAndRacialEthnicGroup[[#This Row],[Black Female % White Male Avg Salary]],7),"")</f>
        <v>2.1002999999999998E-3</v>
      </c>
      <c r="F147">
        <f>IFERROR(ROUND(FemalePayGapsByOccupationalSeriesAndRacialEthnicGroup[[#This Row],[Hispanic - Latino Female Occ Dist]]*FemalePayGapsByOccupationalSeriesAndRacialEthnicGroup[[#This Row],[Hispanic Latino % White Female Avg Salary]],7),"")</f>
        <v>1.9804000000000002E-3</v>
      </c>
      <c r="G14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48" spans="1:7" ht="15.6" x14ac:dyDescent="0.3">
      <c r="A148" s="4" t="s">
        <v>158</v>
      </c>
      <c r="B148" s="4">
        <f>IFERROR(ROUND(FemalePayGapsByOccupationalSeriesAndRacialEthnicGroup[[#This Row],[White Female Occ Dist]]*FemalePayGapsByOccupationalSeriesAndRacialEthnicGroup[[#This Row],[White Female % White Male Avg Salary]],7),"")</f>
        <v>1.7258E-3</v>
      </c>
      <c r="C14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4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48">
        <f>IFERROR(ROUND(FemalePayGapsByOccupationalSeriesAndRacialEthnicGroup[[#This Row],[Black Female Occ Dist]]*FemalePayGapsByOccupationalSeriesAndRacialEthnicGroup[[#This Row],[Black Female % White Male Avg Salary]],7),"")</f>
        <v>5.9460000000000003E-4</v>
      </c>
      <c r="F14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4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49" spans="1:7" ht="15.6" x14ac:dyDescent="0.3">
      <c r="A149" s="4" t="s">
        <v>159</v>
      </c>
      <c r="B149" s="4">
        <f>IFERROR(ROUND(FemalePayGapsByOccupationalSeriesAndRacialEthnicGroup[[#This Row],[White Female Occ Dist]]*FemalePayGapsByOccupationalSeriesAndRacialEthnicGroup[[#This Row],[White Female % White Male Avg Salary]],7),"")</f>
        <v>3.3090000000000002E-4</v>
      </c>
      <c r="C14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4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49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4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4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50" spans="1:7" ht="15.6" x14ac:dyDescent="0.3">
      <c r="A150" s="4" t="s">
        <v>160</v>
      </c>
      <c r="B150" s="4">
        <f>IFERROR(ROUND(FemalePayGapsByOccupationalSeriesAndRacialEthnicGroup[[#This Row],[White Female Occ Dist]]*FemalePayGapsByOccupationalSeriesAndRacialEthnicGroup[[#This Row],[White Female % White Male Avg Salary]],7),"")</f>
        <v>8.6157999999999998E-3</v>
      </c>
      <c r="C150">
        <f>IFERROR(ROUND(FemalePayGapsByOccupationalSeriesAndRacialEthnicGroup[[#This Row],[AIAN Female Occ Dist]]*FemalePayGapsByOccupationalSeriesAndRacialEthnicGroup[[#This Row],[AIAN Female % White Male Avg Salary]],7),"")</f>
        <v>2.47E-3</v>
      </c>
      <c r="D150">
        <f>IFERROR(ROUND(FemalePayGapsByOccupationalSeriesAndRacialEthnicGroup[[#This Row],[ANHPI Female Occ Dist]]*FemalePayGapsByOccupationalSeriesAndRacialEthnicGroup[[#This Row],[ANHPI Female % White Male Avg Salary]],7),"")</f>
        <v>9.5391999999999994E-3</v>
      </c>
      <c r="E150">
        <f>IFERROR(ROUND(FemalePayGapsByOccupationalSeriesAndRacialEthnicGroup[[#This Row],[Black Female Occ Dist]]*FemalePayGapsByOccupationalSeriesAndRacialEthnicGroup[[#This Row],[Black Female % White Male Avg Salary]],7),"")</f>
        <v>3.2269999999999998E-3</v>
      </c>
      <c r="F150">
        <f>IFERROR(ROUND(FemalePayGapsByOccupationalSeriesAndRacialEthnicGroup[[#This Row],[Hispanic - Latino Female Occ Dist]]*FemalePayGapsByOccupationalSeriesAndRacialEthnicGroup[[#This Row],[Hispanic Latino % White Female Avg Salary]],7),"")</f>
        <v>6.6055000000000003E-3</v>
      </c>
      <c r="G150">
        <f>IFERROR(ROUND(FemalePayGapsByOccupationalSeriesAndRacialEthnicGroup[[#This Row],[Other Female Occ Dist]]*FemalePayGapsByOccupationalSeriesAndRacialEthnicGroup[[#This Row],[Other Female % White Male Salary]],7),"")</f>
        <v>7.5947999999999996E-3</v>
      </c>
    </row>
    <row r="151" spans="1:7" ht="15.6" x14ac:dyDescent="0.3">
      <c r="A151" s="4" t="s">
        <v>161</v>
      </c>
      <c r="B151" s="4">
        <f>IFERROR(ROUND(FemalePayGapsByOccupationalSeriesAndRacialEthnicGroup[[#This Row],[White Female Occ Dist]]*FemalePayGapsByOccupationalSeriesAndRacialEthnicGroup[[#This Row],[White Female % White Male Avg Salary]],7),"")</f>
        <v>1.9639000000000002E-3</v>
      </c>
      <c r="C151">
        <f>IFERROR(ROUND(FemalePayGapsByOccupationalSeriesAndRacialEthnicGroup[[#This Row],[AIAN Female Occ Dist]]*FemalePayGapsByOccupationalSeriesAndRacialEthnicGroup[[#This Row],[AIAN Female % White Male Avg Salary]],7),"")</f>
        <v>1.7216E-3</v>
      </c>
      <c r="D151">
        <f>IFERROR(ROUND(FemalePayGapsByOccupationalSeriesAndRacialEthnicGroup[[#This Row],[ANHPI Female Occ Dist]]*FemalePayGapsByOccupationalSeriesAndRacialEthnicGroup[[#This Row],[ANHPI Female % White Male Avg Salary]],7),"")</f>
        <v>1.0896E-3</v>
      </c>
      <c r="E151">
        <f>IFERROR(ROUND(FemalePayGapsByOccupationalSeriesAndRacialEthnicGroup[[#This Row],[Black Female Occ Dist]]*FemalePayGapsByOccupationalSeriesAndRacialEthnicGroup[[#This Row],[Black Female % White Male Avg Salary]],7),"")</f>
        <v>6.3639999999999996E-4</v>
      </c>
      <c r="F151">
        <f>IFERROR(ROUND(FemalePayGapsByOccupationalSeriesAndRacialEthnicGroup[[#This Row],[Hispanic - Latino Female Occ Dist]]*FemalePayGapsByOccupationalSeriesAndRacialEthnicGroup[[#This Row],[Hispanic Latino % White Female Avg Salary]],7),"")</f>
        <v>9.6849999999999996E-4</v>
      </c>
      <c r="G151">
        <f>IFERROR(ROUND(FemalePayGapsByOccupationalSeriesAndRacialEthnicGroup[[#This Row],[Other Female Occ Dist]]*FemalePayGapsByOccupationalSeriesAndRacialEthnicGroup[[#This Row],[Other Female % White Male Salary]],7),"")</f>
        <v>2.3865000000000002E-3</v>
      </c>
    </row>
    <row r="152" spans="1:7" ht="15.6" x14ac:dyDescent="0.3">
      <c r="A152" s="4" t="s">
        <v>162</v>
      </c>
      <c r="B152" s="4">
        <f>IFERROR(ROUND(FemalePayGapsByOccupationalSeriesAndRacialEthnicGroup[[#This Row],[White Female Occ Dist]]*FemalePayGapsByOccupationalSeriesAndRacialEthnicGroup[[#This Row],[White Female % White Male Avg Salary]],7),"")</f>
        <v>1.165E-4</v>
      </c>
      <c r="C15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5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52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5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5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53" spans="1:7" ht="15.6" x14ac:dyDescent="0.3">
      <c r="A153" s="4" t="s">
        <v>163</v>
      </c>
      <c r="B153" s="4">
        <f>IFERROR(ROUND(FemalePayGapsByOccupationalSeriesAndRacialEthnicGroup[[#This Row],[White Female Occ Dist]]*FemalePayGapsByOccupationalSeriesAndRacialEthnicGroup[[#This Row],[White Female % White Male Avg Salary]],7),"")</f>
        <v>3.3399999999999999E-5</v>
      </c>
      <c r="C15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5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5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5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5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54" spans="1:7" ht="15.6" x14ac:dyDescent="0.3">
      <c r="A154" s="4" t="s">
        <v>164</v>
      </c>
      <c r="B154" s="4">
        <f>IFERROR(ROUND(FemalePayGapsByOccupationalSeriesAndRacialEthnicGroup[[#This Row],[White Female Occ Dist]]*FemalePayGapsByOccupationalSeriesAndRacialEthnicGroup[[#This Row],[White Female % White Male Avg Salary]],7),"")</f>
        <v>3.4230000000000003E-4</v>
      </c>
      <c r="C15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54">
        <f>IFERROR(ROUND(FemalePayGapsByOccupationalSeriesAndRacialEthnicGroup[[#This Row],[ANHPI Female Occ Dist]]*FemalePayGapsByOccupationalSeriesAndRacialEthnicGroup[[#This Row],[ANHPI Female % White Male Avg Salary]],7),"")</f>
        <v>3.857E-4</v>
      </c>
      <c r="E15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5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5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55" spans="1:7" ht="15.6" x14ac:dyDescent="0.3">
      <c r="A155" s="4" t="s">
        <v>165</v>
      </c>
      <c r="B155" s="4">
        <f>IFERROR(ROUND(FemalePayGapsByOccupationalSeriesAndRacialEthnicGroup[[#This Row],[White Female Occ Dist]]*FemalePayGapsByOccupationalSeriesAndRacialEthnicGroup[[#This Row],[White Female % White Male Avg Salary]],7),"")</f>
        <v>2.1369999999999999E-4</v>
      </c>
      <c r="C15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5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5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5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5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56" spans="1:7" ht="15.6" x14ac:dyDescent="0.3">
      <c r="A156" s="4" t="s">
        <v>166</v>
      </c>
      <c r="B156" s="4">
        <f>IFERROR(ROUND(FemalePayGapsByOccupationalSeriesAndRacialEthnicGroup[[#This Row],[White Female Occ Dist]]*FemalePayGapsByOccupationalSeriesAndRacialEthnicGroup[[#This Row],[White Female % White Male Avg Salary]],7),"")</f>
        <v>7.8100000000000001E-4</v>
      </c>
      <c r="C15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56">
        <f>IFERROR(ROUND(FemalePayGapsByOccupationalSeriesAndRacialEthnicGroup[[#This Row],[ANHPI Female Occ Dist]]*FemalePayGapsByOccupationalSeriesAndRacialEthnicGroup[[#This Row],[ANHPI Female % White Male Avg Salary]],7),"")</f>
        <v>1.3113999999999999E-3</v>
      </c>
      <c r="E156">
        <f>IFERROR(ROUND(FemalePayGapsByOccupationalSeriesAndRacialEthnicGroup[[#This Row],[Black Female Occ Dist]]*FemalePayGapsByOccupationalSeriesAndRacialEthnicGroup[[#This Row],[Black Female % White Male Avg Salary]],7),"")</f>
        <v>2.52E-4</v>
      </c>
      <c r="F156">
        <f>IFERROR(ROUND(FemalePayGapsByOccupationalSeriesAndRacialEthnicGroup[[#This Row],[Hispanic - Latino Female Occ Dist]]*FemalePayGapsByOccupationalSeriesAndRacialEthnicGroup[[#This Row],[Hispanic Latino % White Female Avg Salary]],7),"")</f>
        <v>5.7470000000000004E-4</v>
      </c>
      <c r="G15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57" spans="1:7" ht="15.6" x14ac:dyDescent="0.3">
      <c r="A157" s="4" t="s">
        <v>167</v>
      </c>
      <c r="B157" s="4">
        <f>IFERROR(ROUND(FemalePayGapsByOccupationalSeriesAndRacialEthnicGroup[[#This Row],[White Female Occ Dist]]*FemalePayGapsByOccupationalSeriesAndRacialEthnicGroup[[#This Row],[White Female % White Male Avg Salary]],7),"")</f>
        <v>1.5980000000000001E-4</v>
      </c>
      <c r="C15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5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57">
        <f>IFERROR(ROUND(FemalePayGapsByOccupationalSeriesAndRacialEthnicGroup[[#This Row],[Black Female Occ Dist]]*FemalePayGapsByOccupationalSeriesAndRacialEthnicGroup[[#This Row],[Black Female % White Male Avg Salary]],7),"")</f>
        <v>4.9400000000000001E-5</v>
      </c>
      <c r="F157">
        <f>IFERROR(ROUND(FemalePayGapsByOccupationalSeriesAndRacialEthnicGroup[[#This Row],[Hispanic - Latino Female Occ Dist]]*FemalePayGapsByOccupationalSeriesAndRacialEthnicGroup[[#This Row],[Hispanic Latino % White Female Avg Salary]],7),"")</f>
        <v>1.2329999999999999E-4</v>
      </c>
      <c r="G15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58" spans="1:7" ht="15.6" x14ac:dyDescent="0.3">
      <c r="A158" s="4" t="s">
        <v>168</v>
      </c>
      <c r="B158" s="4">
        <f>IFERROR(ROUND(FemalePayGapsByOccupationalSeriesAndRacialEthnicGroup[[#This Row],[White Female Occ Dist]]*FemalePayGapsByOccupationalSeriesAndRacialEthnicGroup[[#This Row],[White Female % White Male Avg Salary]],7),"")</f>
        <v>3.6093000000000002E-3</v>
      </c>
      <c r="C158">
        <f>IFERROR(ROUND(FemalePayGapsByOccupationalSeriesAndRacialEthnicGroup[[#This Row],[AIAN Female Occ Dist]]*FemalePayGapsByOccupationalSeriesAndRacialEthnicGroup[[#This Row],[AIAN Female % White Male Avg Salary]],7),"")</f>
        <v>2.0980999999999999E-3</v>
      </c>
      <c r="D158">
        <f>IFERROR(ROUND(FemalePayGapsByOccupationalSeriesAndRacialEthnicGroup[[#This Row],[ANHPI Female Occ Dist]]*FemalePayGapsByOccupationalSeriesAndRacialEthnicGroup[[#This Row],[ANHPI Female % White Male Avg Salary]],7),"")</f>
        <v>3.9551999999999999E-3</v>
      </c>
      <c r="E158">
        <f>IFERROR(ROUND(FemalePayGapsByOccupationalSeriesAndRacialEthnicGroup[[#This Row],[Black Female Occ Dist]]*FemalePayGapsByOccupationalSeriesAndRacialEthnicGroup[[#This Row],[Black Female % White Male Avg Salary]],7),"")</f>
        <v>7.3430000000000001E-4</v>
      </c>
      <c r="F158">
        <f>IFERROR(ROUND(FemalePayGapsByOccupationalSeriesAndRacialEthnicGroup[[#This Row],[Hispanic - Latino Female Occ Dist]]*FemalePayGapsByOccupationalSeriesAndRacialEthnicGroup[[#This Row],[Hispanic Latino % White Female Avg Salary]],7),"")</f>
        <v>2.9407000000000001E-3</v>
      </c>
      <c r="G158">
        <f>IFERROR(ROUND(FemalePayGapsByOccupationalSeriesAndRacialEthnicGroup[[#This Row],[Other Female Occ Dist]]*FemalePayGapsByOccupationalSeriesAndRacialEthnicGroup[[#This Row],[Other Female % White Male Salary]],7),"")</f>
        <v>3.6278E-3</v>
      </c>
    </row>
    <row r="159" spans="1:7" ht="15.6" x14ac:dyDescent="0.3">
      <c r="A159" s="4" t="s">
        <v>169</v>
      </c>
      <c r="B159" s="4">
        <f>IFERROR(ROUND(FemalePayGapsByOccupationalSeriesAndRacialEthnicGroup[[#This Row],[White Female Occ Dist]]*FemalePayGapsByOccupationalSeriesAndRacialEthnicGroup[[#This Row],[White Female % White Male Avg Salary]],7),"")</f>
        <v>3.82E-5</v>
      </c>
      <c r="C15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5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59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5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5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60" spans="1:7" ht="15.6" x14ac:dyDescent="0.3">
      <c r="A160" s="4" t="s">
        <v>170</v>
      </c>
      <c r="B160" s="4">
        <f>IFERROR(ROUND(FemalePayGapsByOccupationalSeriesAndRacialEthnicGroup[[#This Row],[White Female Occ Dist]]*FemalePayGapsByOccupationalSeriesAndRacialEthnicGroup[[#This Row],[White Female % White Male Avg Salary]],7),"")</f>
        <v>1.6064E-3</v>
      </c>
      <c r="C16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60">
        <f>IFERROR(ROUND(FemalePayGapsByOccupationalSeriesAndRacialEthnicGroup[[#This Row],[ANHPI Female Occ Dist]]*FemalePayGapsByOccupationalSeriesAndRacialEthnicGroup[[#This Row],[ANHPI Female % White Male Avg Salary]],7),"")</f>
        <v>2.4060000000000002E-3</v>
      </c>
      <c r="E160">
        <f>IFERROR(ROUND(FemalePayGapsByOccupationalSeriesAndRacialEthnicGroup[[#This Row],[Black Female Occ Dist]]*FemalePayGapsByOccupationalSeriesAndRacialEthnicGroup[[#This Row],[Black Female % White Male Avg Salary]],7),"")</f>
        <v>5.2320000000000003E-4</v>
      </c>
      <c r="F160">
        <f>IFERROR(ROUND(FemalePayGapsByOccupationalSeriesAndRacialEthnicGroup[[#This Row],[Hispanic - Latino Female Occ Dist]]*FemalePayGapsByOccupationalSeriesAndRacialEthnicGroup[[#This Row],[Hispanic Latino % White Female Avg Salary]],7),"")</f>
        <v>1.2005E-3</v>
      </c>
      <c r="G16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61" spans="1:7" ht="15.6" x14ac:dyDescent="0.3">
      <c r="A161" s="4" t="s">
        <v>326</v>
      </c>
      <c r="B161" s="4">
        <f>IFERROR(ROUND(FemalePayGapsByOccupationalSeriesAndRacialEthnicGroup[[#This Row],[White Female Occ Dist]]*FemalePayGapsByOccupationalSeriesAndRacialEthnicGroup[[#This Row],[White Female % White Male Avg Salary]],7),"")</f>
        <v>5.7500000000000002E-5</v>
      </c>
      <c r="C16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6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61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6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6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62" spans="1:7" ht="15.6" x14ac:dyDescent="0.3">
      <c r="A162" s="4" t="s">
        <v>171</v>
      </c>
      <c r="B162" s="4">
        <f>IFERROR(ROUND(FemalePayGapsByOccupationalSeriesAndRacialEthnicGroup[[#This Row],[White Female Occ Dist]]*FemalePayGapsByOccupationalSeriesAndRacialEthnicGroup[[#This Row],[White Female % White Male Avg Salary]],7),"")</f>
        <v>2.3873000000000002E-3</v>
      </c>
      <c r="C16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62">
        <f>IFERROR(ROUND(FemalePayGapsByOccupationalSeriesAndRacialEthnicGroup[[#This Row],[ANHPI Female Occ Dist]]*FemalePayGapsByOccupationalSeriesAndRacialEthnicGroup[[#This Row],[ANHPI Female % White Male Avg Salary]],7),"")</f>
        <v>2.6012000000000001E-3</v>
      </c>
      <c r="E162">
        <f>IFERROR(ROUND(FemalePayGapsByOccupationalSeriesAndRacialEthnicGroup[[#This Row],[Black Female Occ Dist]]*FemalePayGapsByOccupationalSeriesAndRacialEthnicGroup[[#This Row],[Black Female % White Male Avg Salary]],7),"")</f>
        <v>4.2900000000000002E-4</v>
      </c>
      <c r="F162">
        <f>IFERROR(ROUND(FemalePayGapsByOccupationalSeriesAndRacialEthnicGroup[[#This Row],[Hispanic - Latino Female Occ Dist]]*FemalePayGapsByOccupationalSeriesAndRacialEthnicGroup[[#This Row],[Hispanic Latino % White Female Avg Salary]],7),"")</f>
        <v>2.0807999999999998E-3</v>
      </c>
      <c r="G162">
        <f>IFERROR(ROUND(FemalePayGapsByOccupationalSeriesAndRacialEthnicGroup[[#This Row],[Other Female Occ Dist]]*FemalePayGapsByOccupationalSeriesAndRacialEthnicGroup[[#This Row],[Other Female % White Male Salary]],7),"")</f>
        <v>2.9342999999999999E-3</v>
      </c>
    </row>
    <row r="163" spans="1:7" ht="15.6" x14ac:dyDescent="0.3">
      <c r="A163" s="4" t="s">
        <v>172</v>
      </c>
      <c r="B163" s="4">
        <f>IFERROR(ROUND(FemalePayGapsByOccupationalSeriesAndRacialEthnicGroup[[#This Row],[White Female Occ Dist]]*FemalePayGapsByOccupationalSeriesAndRacialEthnicGroup[[#This Row],[White Female % White Male Avg Salary]],7),"")</f>
        <v>6.2949999999999996E-4</v>
      </c>
      <c r="C16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63">
        <f>IFERROR(ROUND(FemalePayGapsByOccupationalSeriesAndRacialEthnicGroup[[#This Row],[ANHPI Female Occ Dist]]*FemalePayGapsByOccupationalSeriesAndRacialEthnicGroup[[#This Row],[ANHPI Female % White Male Avg Salary]],7),"")</f>
        <v>1.0104000000000001E-3</v>
      </c>
      <c r="E163">
        <f>IFERROR(ROUND(FemalePayGapsByOccupationalSeriesAndRacialEthnicGroup[[#This Row],[Black Female Occ Dist]]*FemalePayGapsByOccupationalSeriesAndRacialEthnicGroup[[#This Row],[Black Female % White Male Avg Salary]],7),"")</f>
        <v>1.8359999999999999E-4</v>
      </c>
      <c r="F163">
        <f>IFERROR(ROUND(FemalePayGapsByOccupationalSeriesAndRacialEthnicGroup[[#This Row],[Hispanic - Latino Female Occ Dist]]*FemalePayGapsByOccupationalSeriesAndRacialEthnicGroup[[#This Row],[Hispanic Latino % White Female Avg Salary]],7),"")</f>
        <v>2.3130000000000001E-4</v>
      </c>
      <c r="G163">
        <f>IFERROR(ROUND(FemalePayGapsByOccupationalSeriesAndRacialEthnicGroup[[#This Row],[Other Female Occ Dist]]*FemalePayGapsByOccupationalSeriesAndRacialEthnicGroup[[#This Row],[Other Female % White Male Salary]],7),"")</f>
        <v>1.3148999999999999E-3</v>
      </c>
    </row>
    <row r="164" spans="1:7" ht="15.6" x14ac:dyDescent="0.3">
      <c r="A164" s="4" t="s">
        <v>173</v>
      </c>
      <c r="B164" s="4">
        <f>IFERROR(ROUND(FemalePayGapsByOccupationalSeriesAndRacialEthnicGroup[[#This Row],[White Female Occ Dist]]*FemalePayGapsByOccupationalSeriesAndRacialEthnicGroup[[#This Row],[White Female % White Male Avg Salary]],7),"")</f>
        <v>7.9920000000000002E-4</v>
      </c>
      <c r="C16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64">
        <f>IFERROR(ROUND(FemalePayGapsByOccupationalSeriesAndRacialEthnicGroup[[#This Row],[ANHPI Female Occ Dist]]*FemalePayGapsByOccupationalSeriesAndRacialEthnicGroup[[#This Row],[ANHPI Female % White Male Avg Salary]],7),"")</f>
        <v>2.3763999999999999E-3</v>
      </c>
      <c r="E164">
        <f>IFERROR(ROUND(FemalePayGapsByOccupationalSeriesAndRacialEthnicGroup[[#This Row],[Black Female Occ Dist]]*FemalePayGapsByOccupationalSeriesAndRacialEthnicGroup[[#This Row],[Black Female % White Male Avg Salary]],7),"")</f>
        <v>4.1090000000000001E-4</v>
      </c>
      <c r="F164">
        <f>IFERROR(ROUND(FemalePayGapsByOccupationalSeriesAndRacialEthnicGroup[[#This Row],[Hispanic - Latino Female Occ Dist]]*FemalePayGapsByOccupationalSeriesAndRacialEthnicGroup[[#This Row],[Hispanic Latino % White Female Avg Salary]],7),"")</f>
        <v>8.788E-4</v>
      </c>
      <c r="G164">
        <f>IFERROR(ROUND(FemalePayGapsByOccupationalSeriesAndRacialEthnicGroup[[#This Row],[Other Female Occ Dist]]*FemalePayGapsByOccupationalSeriesAndRacialEthnicGroup[[#This Row],[Other Female % White Male Salary]],7),"")</f>
        <v>1.0208999999999999E-3</v>
      </c>
    </row>
    <row r="165" spans="1:7" ht="15.6" x14ac:dyDescent="0.3">
      <c r="A165" s="4" t="s">
        <v>174</v>
      </c>
      <c r="B165" s="4">
        <f>IFERROR(ROUND(FemalePayGapsByOccupationalSeriesAndRacialEthnicGroup[[#This Row],[White Female Occ Dist]]*FemalePayGapsByOccupationalSeriesAndRacialEthnicGroup[[#This Row],[White Female % White Male Avg Salary]],7),"")</f>
        <v>8.6989999999999995E-4</v>
      </c>
      <c r="C16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65">
        <f>IFERROR(ROUND(FemalePayGapsByOccupationalSeriesAndRacialEthnicGroup[[#This Row],[ANHPI Female Occ Dist]]*FemalePayGapsByOccupationalSeriesAndRacialEthnicGroup[[#This Row],[ANHPI Female % White Male Avg Salary]],7),"")</f>
        <v>3.2545E-3</v>
      </c>
      <c r="E165">
        <f>IFERROR(ROUND(FemalePayGapsByOccupationalSeriesAndRacialEthnicGroup[[#This Row],[Black Female Occ Dist]]*FemalePayGapsByOccupationalSeriesAndRacialEthnicGroup[[#This Row],[Black Female % White Male Avg Salary]],7),"")</f>
        <v>4.548E-4</v>
      </c>
      <c r="F165">
        <f>IFERROR(ROUND(FemalePayGapsByOccupationalSeriesAndRacialEthnicGroup[[#This Row],[Hispanic - Latino Female Occ Dist]]*FemalePayGapsByOccupationalSeriesAndRacialEthnicGroup[[#This Row],[Hispanic Latino % White Female Avg Salary]],7),"")</f>
        <v>9.9839999999999998E-4</v>
      </c>
      <c r="G16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66" spans="1:7" ht="15.6" x14ac:dyDescent="0.3">
      <c r="A166" s="4" t="s">
        <v>175</v>
      </c>
      <c r="B166" s="4">
        <f>IFERROR(ROUND(FemalePayGapsByOccupationalSeriesAndRacialEthnicGroup[[#This Row],[White Female Occ Dist]]*FemalePayGapsByOccupationalSeriesAndRacialEthnicGroup[[#This Row],[White Female % White Male Avg Salary]],7),"")</f>
        <v>2.0723E-3</v>
      </c>
      <c r="C16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66">
        <f>IFERROR(ROUND(FemalePayGapsByOccupationalSeriesAndRacialEthnicGroup[[#This Row],[ANHPI Female Occ Dist]]*FemalePayGapsByOccupationalSeriesAndRacialEthnicGroup[[#This Row],[ANHPI Female % White Male Avg Salary]],7),"")</f>
        <v>8.3096000000000003E-3</v>
      </c>
      <c r="E166">
        <f>IFERROR(ROUND(FemalePayGapsByOccupationalSeriesAndRacialEthnicGroup[[#This Row],[Black Female Occ Dist]]*FemalePayGapsByOccupationalSeriesAndRacialEthnicGroup[[#This Row],[Black Female % White Male Avg Salary]],7),"")</f>
        <v>1.0502E-3</v>
      </c>
      <c r="F166">
        <f>IFERROR(ROUND(FemalePayGapsByOccupationalSeriesAndRacialEthnicGroup[[#This Row],[Hispanic - Latino Female Occ Dist]]*FemalePayGapsByOccupationalSeriesAndRacialEthnicGroup[[#This Row],[Hispanic Latino % White Female Avg Salary]],7),"")</f>
        <v>2.2579000000000002E-3</v>
      </c>
      <c r="G166">
        <f>IFERROR(ROUND(FemalePayGapsByOccupationalSeriesAndRacialEthnicGroup[[#This Row],[Other Female Occ Dist]]*FemalePayGapsByOccupationalSeriesAndRacialEthnicGroup[[#This Row],[Other Female % White Male Salary]],7),"")</f>
        <v>2.4480000000000001E-3</v>
      </c>
    </row>
    <row r="167" spans="1:7" ht="15.6" x14ac:dyDescent="0.3">
      <c r="A167" s="4" t="s">
        <v>176</v>
      </c>
      <c r="B167" s="4">
        <f>IFERROR(ROUND(FemalePayGapsByOccupationalSeriesAndRacialEthnicGroup[[#This Row],[White Female Occ Dist]]*FemalePayGapsByOccupationalSeriesAndRacialEthnicGroup[[#This Row],[White Female % White Male Avg Salary]],7),"")</f>
        <v>5.0330000000000004E-4</v>
      </c>
      <c r="C16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67">
        <f>IFERROR(ROUND(FemalePayGapsByOccupationalSeriesAndRacialEthnicGroup[[#This Row],[ANHPI Female Occ Dist]]*FemalePayGapsByOccupationalSeriesAndRacialEthnicGroup[[#This Row],[ANHPI Female % White Male Avg Salary]],7),"")</f>
        <v>4.9109999999999996E-4</v>
      </c>
      <c r="E167">
        <f>IFERROR(ROUND(FemalePayGapsByOccupationalSeriesAndRacialEthnicGroup[[#This Row],[Black Female Occ Dist]]*FemalePayGapsByOccupationalSeriesAndRacialEthnicGroup[[#This Row],[Black Female % White Male Avg Salary]],7),"")</f>
        <v>1.8770000000000001E-4</v>
      </c>
      <c r="F167">
        <f>IFERROR(ROUND(FemalePayGapsByOccupationalSeriesAndRacialEthnicGroup[[#This Row],[Hispanic - Latino Female Occ Dist]]*FemalePayGapsByOccupationalSeriesAndRacialEthnicGroup[[#This Row],[Hispanic Latino % White Female Avg Salary]],7),"")</f>
        <v>5.7419999999999997E-4</v>
      </c>
      <c r="G167">
        <f>IFERROR(ROUND(FemalePayGapsByOccupationalSeriesAndRacialEthnicGroup[[#This Row],[Other Female Occ Dist]]*FemalePayGapsByOccupationalSeriesAndRacialEthnicGroup[[#This Row],[Other Female % White Male Salary]],7),"")</f>
        <v>1.0652000000000001E-3</v>
      </c>
    </row>
    <row r="168" spans="1:7" ht="31.2" x14ac:dyDescent="0.3">
      <c r="A168" s="4" t="s">
        <v>177</v>
      </c>
      <c r="B168" s="4">
        <f>IFERROR(ROUND(FemalePayGapsByOccupationalSeriesAndRacialEthnicGroup[[#This Row],[White Female Occ Dist]]*FemalePayGapsByOccupationalSeriesAndRacialEthnicGroup[[#This Row],[White Female % White Male Avg Salary]],7),"")</f>
        <v>4.572E-4</v>
      </c>
      <c r="C16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68">
        <f>IFERROR(ROUND(FemalePayGapsByOccupationalSeriesAndRacialEthnicGroup[[#This Row],[ANHPI Female Occ Dist]]*FemalePayGapsByOccupationalSeriesAndRacialEthnicGroup[[#This Row],[ANHPI Female % White Male Avg Salary]],7),"")</f>
        <v>9.7210000000000005E-4</v>
      </c>
      <c r="E168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6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6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69" spans="1:7" ht="15.6" x14ac:dyDescent="0.3">
      <c r="A169" s="4" t="s">
        <v>178</v>
      </c>
      <c r="B169" s="4">
        <f>IFERROR(ROUND(FemalePayGapsByOccupationalSeriesAndRacialEthnicGroup[[#This Row],[White Female Occ Dist]]*FemalePayGapsByOccupationalSeriesAndRacialEthnicGroup[[#This Row],[White Female % White Male Avg Salary]],7),"")</f>
        <v>2.5801999999999999E-3</v>
      </c>
      <c r="C16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69">
        <f>IFERROR(ROUND(FemalePayGapsByOccupationalSeriesAndRacialEthnicGroup[[#This Row],[ANHPI Female Occ Dist]]*FemalePayGapsByOccupationalSeriesAndRacialEthnicGroup[[#This Row],[ANHPI Female % White Male Avg Salary]],7),"")</f>
        <v>2.5098999999999998E-3</v>
      </c>
      <c r="E169">
        <f>IFERROR(ROUND(FemalePayGapsByOccupationalSeriesAndRacialEthnicGroup[[#This Row],[Black Female Occ Dist]]*FemalePayGapsByOccupationalSeriesAndRacialEthnicGroup[[#This Row],[Black Female % White Male Avg Salary]],7),"")</f>
        <v>5.5239999999999998E-4</v>
      </c>
      <c r="F169">
        <f>IFERROR(ROUND(FemalePayGapsByOccupationalSeriesAndRacialEthnicGroup[[#This Row],[Hispanic - Latino Female Occ Dist]]*FemalePayGapsByOccupationalSeriesAndRacialEthnicGroup[[#This Row],[Hispanic Latino % White Female Avg Salary]],7),"")</f>
        <v>1.6930999999999999E-3</v>
      </c>
      <c r="G169">
        <f>IFERROR(ROUND(FemalePayGapsByOccupationalSeriesAndRacialEthnicGroup[[#This Row],[Other Female Occ Dist]]*FemalePayGapsByOccupationalSeriesAndRacialEthnicGroup[[#This Row],[Other Female % White Male Salary]],7),"")</f>
        <v>1.3427999999999999E-3</v>
      </c>
    </row>
    <row r="170" spans="1:7" ht="15.6" x14ac:dyDescent="0.3">
      <c r="A170" s="4" t="s">
        <v>179</v>
      </c>
      <c r="B170" s="4">
        <f>IFERROR(ROUND(FemalePayGapsByOccupationalSeriesAndRacialEthnicGroup[[#This Row],[White Female Occ Dist]]*FemalePayGapsByOccupationalSeriesAndRacialEthnicGroup[[#This Row],[White Female % White Male Avg Salary]],7),"")</f>
        <v>2.3259999999999999E-4</v>
      </c>
      <c r="C17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70">
        <f>IFERROR(ROUND(FemalePayGapsByOccupationalSeriesAndRacialEthnicGroup[[#This Row],[ANHPI Female Occ Dist]]*FemalePayGapsByOccupationalSeriesAndRacialEthnicGroup[[#This Row],[ANHPI Female % White Male Avg Salary]],7),"")</f>
        <v>2.743E-4</v>
      </c>
      <c r="E170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7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7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71" spans="1:7" ht="15.6" x14ac:dyDescent="0.3">
      <c r="A171" s="4" t="s">
        <v>180</v>
      </c>
      <c r="B171" s="4">
        <f>IFERROR(ROUND(FemalePayGapsByOccupationalSeriesAndRacialEthnicGroup[[#This Row],[White Female Occ Dist]]*FemalePayGapsByOccupationalSeriesAndRacialEthnicGroup[[#This Row],[White Female % White Male Avg Salary]],7),"")</f>
        <v>6.1E-6</v>
      </c>
      <c r="C17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7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71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7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7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72" spans="1:7" ht="15.6" x14ac:dyDescent="0.3">
      <c r="A172" s="4" t="s">
        <v>181</v>
      </c>
      <c r="B172" s="4">
        <f>IFERROR(ROUND(FemalePayGapsByOccupationalSeriesAndRacialEthnicGroup[[#This Row],[White Female Occ Dist]]*FemalePayGapsByOccupationalSeriesAndRacialEthnicGroup[[#This Row],[White Female % White Male Avg Salary]],7),"")</f>
        <v>9.9199999999999999E-5</v>
      </c>
      <c r="C17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7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72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7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7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73" spans="1:7" ht="15.6" x14ac:dyDescent="0.3">
      <c r="A173" s="4" t="s">
        <v>182</v>
      </c>
      <c r="B173" s="4">
        <f>IFERROR(ROUND(FemalePayGapsByOccupationalSeriesAndRacialEthnicGroup[[#This Row],[White Female Occ Dist]]*FemalePayGapsByOccupationalSeriesAndRacialEthnicGroup[[#This Row],[White Female % White Male Avg Salary]],7),"")</f>
        <v>1.161E-4</v>
      </c>
      <c r="C17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7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7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7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7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74" spans="1:7" ht="15.6" x14ac:dyDescent="0.3">
      <c r="A174" s="4" t="s">
        <v>183</v>
      </c>
      <c r="B174" s="4">
        <f>IFERROR(ROUND(FemalePayGapsByOccupationalSeriesAndRacialEthnicGroup[[#This Row],[White Female Occ Dist]]*FemalePayGapsByOccupationalSeriesAndRacialEthnicGroup[[#This Row],[White Female % White Male Avg Salary]],7),"")</f>
        <v>4.1869999999999999E-4</v>
      </c>
      <c r="C17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74">
        <f>IFERROR(ROUND(FemalePayGapsByOccupationalSeriesAndRacialEthnicGroup[[#This Row],[ANHPI Female Occ Dist]]*FemalePayGapsByOccupationalSeriesAndRacialEthnicGroup[[#This Row],[ANHPI Female % White Male Avg Salary]],7),"")</f>
        <v>5.9880000000000003E-4</v>
      </c>
      <c r="E17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7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7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75" spans="1:7" ht="15.6" x14ac:dyDescent="0.3">
      <c r="A175" s="4" t="s">
        <v>184</v>
      </c>
      <c r="B175" s="4">
        <f>IFERROR(ROUND(FemalePayGapsByOccupationalSeriesAndRacialEthnicGroup[[#This Row],[White Female Occ Dist]]*FemalePayGapsByOccupationalSeriesAndRacialEthnicGroup[[#This Row],[White Female % White Male Avg Salary]],7),"")</f>
        <v>2.4469999999999998E-4</v>
      </c>
      <c r="C17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7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7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7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7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76" spans="1:7" ht="15.6" x14ac:dyDescent="0.3">
      <c r="A176" s="4" t="s">
        <v>185</v>
      </c>
      <c r="B176" s="4">
        <f>IFERROR(ROUND(FemalePayGapsByOccupationalSeriesAndRacialEthnicGroup[[#This Row],[White Female Occ Dist]]*FemalePayGapsByOccupationalSeriesAndRacialEthnicGroup[[#This Row],[White Female % White Male Avg Salary]],7),"")</f>
        <v>3.1270000000000001E-4</v>
      </c>
      <c r="C17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7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7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7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7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77" spans="1:7" ht="31.2" x14ac:dyDescent="0.3">
      <c r="A177" s="4" t="s">
        <v>186</v>
      </c>
      <c r="B177" s="4">
        <f>IFERROR(ROUND(FemalePayGapsByOccupationalSeriesAndRacialEthnicGroup[[#This Row],[White Female Occ Dist]]*FemalePayGapsByOccupationalSeriesAndRacialEthnicGroup[[#This Row],[White Female % White Male Avg Salary]],7),"")</f>
        <v>1.225E-4</v>
      </c>
      <c r="C17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7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77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7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7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78" spans="1:7" ht="31.2" x14ac:dyDescent="0.3">
      <c r="A178" s="4" t="s">
        <v>187</v>
      </c>
      <c r="B178" s="4">
        <f>IFERROR(ROUND(FemalePayGapsByOccupationalSeriesAndRacialEthnicGroup[[#This Row],[White Female Occ Dist]]*FemalePayGapsByOccupationalSeriesAndRacialEthnicGroup[[#This Row],[White Female % White Male Avg Salary]],7),"")</f>
        <v>3.9357999999999997E-3</v>
      </c>
      <c r="C178">
        <f>IFERROR(ROUND(FemalePayGapsByOccupationalSeriesAndRacialEthnicGroup[[#This Row],[AIAN Female Occ Dist]]*FemalePayGapsByOccupationalSeriesAndRacialEthnicGroup[[#This Row],[AIAN Female % White Male Avg Salary]],7),"")</f>
        <v>7.3930999999999997E-3</v>
      </c>
      <c r="D178">
        <f>IFERROR(ROUND(FemalePayGapsByOccupationalSeriesAndRacialEthnicGroup[[#This Row],[ANHPI Female Occ Dist]]*FemalePayGapsByOccupationalSeriesAndRacialEthnicGroup[[#This Row],[ANHPI Female % White Male Avg Salary]],7),"")</f>
        <v>5.3680000000000004E-3</v>
      </c>
      <c r="E178">
        <f>IFERROR(ROUND(FemalePayGapsByOccupationalSeriesAndRacialEthnicGroup[[#This Row],[Black Female Occ Dist]]*FemalePayGapsByOccupationalSeriesAndRacialEthnicGroup[[#This Row],[Black Female % White Male Avg Salary]],7),"")</f>
        <v>1.0729499999999999E-2</v>
      </c>
      <c r="F178">
        <f>IFERROR(ROUND(FemalePayGapsByOccupationalSeriesAndRacialEthnicGroup[[#This Row],[Hispanic - Latino Female Occ Dist]]*FemalePayGapsByOccupationalSeriesAndRacialEthnicGroup[[#This Row],[Hispanic Latino % White Female Avg Salary]],7),"")</f>
        <v>7.5763999999999996E-3</v>
      </c>
      <c r="G178">
        <f>IFERROR(ROUND(FemalePayGapsByOccupationalSeriesAndRacialEthnicGroup[[#This Row],[Other Female Occ Dist]]*FemalePayGapsByOccupationalSeriesAndRacialEthnicGroup[[#This Row],[Other Female % White Male Salary]],7),"")</f>
        <v>4.8782000000000001E-3</v>
      </c>
    </row>
    <row r="179" spans="1:7" ht="15.6" x14ac:dyDescent="0.3">
      <c r="A179" s="4" t="s">
        <v>188</v>
      </c>
      <c r="B179" s="4">
        <f>IFERROR(ROUND(FemalePayGapsByOccupationalSeriesAndRacialEthnicGroup[[#This Row],[White Female Occ Dist]]*FemalePayGapsByOccupationalSeriesAndRacialEthnicGroup[[#This Row],[White Female % White Male Avg Salary]],7),"")</f>
        <v>2.8203700000000002E-2</v>
      </c>
      <c r="C179">
        <f>IFERROR(ROUND(FemalePayGapsByOccupationalSeriesAndRacialEthnicGroup[[#This Row],[AIAN Female Occ Dist]]*FemalePayGapsByOccupationalSeriesAndRacialEthnicGroup[[#This Row],[AIAN Female % White Male Avg Salary]],7),"")</f>
        <v>5.4517999999999997E-3</v>
      </c>
      <c r="D179">
        <f>IFERROR(ROUND(FemalePayGapsByOccupationalSeriesAndRacialEthnicGroup[[#This Row],[ANHPI Female Occ Dist]]*FemalePayGapsByOccupationalSeriesAndRacialEthnicGroup[[#This Row],[ANHPI Female % White Male Avg Salary]],7),"")</f>
        <v>2.53198E-2</v>
      </c>
      <c r="E179">
        <f>IFERROR(ROUND(FemalePayGapsByOccupationalSeriesAndRacialEthnicGroup[[#This Row],[Black Female Occ Dist]]*FemalePayGapsByOccupationalSeriesAndRacialEthnicGroup[[#This Row],[Black Female % White Male Avg Salary]],7),"")</f>
        <v>1.0231199999999999E-2</v>
      </c>
      <c r="F179">
        <f>IFERROR(ROUND(FemalePayGapsByOccupationalSeriesAndRacialEthnicGroup[[#This Row],[Hispanic - Latino Female Occ Dist]]*FemalePayGapsByOccupationalSeriesAndRacialEthnicGroup[[#This Row],[Hispanic Latino % White Female Avg Salary]],7),"")</f>
        <v>1.2999399999999999E-2</v>
      </c>
      <c r="G179">
        <f>IFERROR(ROUND(FemalePayGapsByOccupationalSeriesAndRacialEthnicGroup[[#This Row],[Other Female Occ Dist]]*FemalePayGapsByOccupationalSeriesAndRacialEthnicGroup[[#This Row],[Other Female % White Male Salary]],7),"")</f>
        <v>1.96723E-2</v>
      </c>
    </row>
    <row r="180" spans="1:7" ht="15.6" x14ac:dyDescent="0.3">
      <c r="A180" s="4" t="s">
        <v>189</v>
      </c>
      <c r="B180" s="4">
        <f>IFERROR(ROUND(FemalePayGapsByOccupationalSeriesAndRacialEthnicGroup[[#This Row],[White Female Occ Dist]]*FemalePayGapsByOccupationalSeriesAndRacialEthnicGroup[[#This Row],[White Female % White Male Avg Salary]],7),"")</f>
        <v>2.0460000000000001E-3</v>
      </c>
      <c r="C18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80">
        <f>IFERROR(ROUND(FemalePayGapsByOccupationalSeriesAndRacialEthnicGroup[[#This Row],[ANHPI Female Occ Dist]]*FemalePayGapsByOccupationalSeriesAndRacialEthnicGroup[[#This Row],[ANHPI Female % White Male Avg Salary]],7),"")</f>
        <v>2.8107000000000002E-3</v>
      </c>
      <c r="E180">
        <f>IFERROR(ROUND(FemalePayGapsByOccupationalSeriesAndRacialEthnicGroup[[#This Row],[Black Female Occ Dist]]*FemalePayGapsByOccupationalSeriesAndRacialEthnicGroup[[#This Row],[Black Female % White Male Avg Salary]],7),"")</f>
        <v>1.6201E-3</v>
      </c>
      <c r="F180">
        <f>IFERROR(ROUND(FemalePayGapsByOccupationalSeriesAndRacialEthnicGroup[[#This Row],[Hispanic - Latino Female Occ Dist]]*FemalePayGapsByOccupationalSeriesAndRacialEthnicGroup[[#This Row],[Hispanic Latino % White Female Avg Salary]],7),"")</f>
        <v>2.5823999999999999E-3</v>
      </c>
      <c r="G18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81" spans="1:7" ht="15.6" x14ac:dyDescent="0.3">
      <c r="A181" s="4" t="s">
        <v>190</v>
      </c>
      <c r="B181" s="4">
        <f>IFERROR(ROUND(FemalePayGapsByOccupationalSeriesAndRacialEthnicGroup[[#This Row],[White Female Occ Dist]]*FemalePayGapsByOccupationalSeriesAndRacialEthnicGroup[[#This Row],[White Female % White Male Avg Salary]],7),"")</f>
        <v>9.9069999999999996E-4</v>
      </c>
      <c r="C18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8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81">
        <f>IFERROR(ROUND(FemalePayGapsByOccupationalSeriesAndRacialEthnicGroup[[#This Row],[Black Female Occ Dist]]*FemalePayGapsByOccupationalSeriesAndRacialEthnicGroup[[#This Row],[Black Female % White Male Avg Salary]],7),"")</f>
        <v>4.5659999999999999E-4</v>
      </c>
      <c r="F18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8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82" spans="1:7" ht="15.6" x14ac:dyDescent="0.3">
      <c r="A182" s="4" t="s">
        <v>191</v>
      </c>
      <c r="B182" s="4">
        <f>IFERROR(ROUND(FemalePayGapsByOccupationalSeriesAndRacialEthnicGroup[[#This Row],[White Female Occ Dist]]*FemalePayGapsByOccupationalSeriesAndRacialEthnicGroup[[#This Row],[White Female % White Male Avg Salary]],7),"")</f>
        <v>4.9004000000000001E-3</v>
      </c>
      <c r="C18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82">
        <f>IFERROR(ROUND(FemalePayGapsByOccupationalSeriesAndRacialEthnicGroup[[#This Row],[ANHPI Female Occ Dist]]*FemalePayGapsByOccupationalSeriesAndRacialEthnicGroup[[#This Row],[ANHPI Female % White Male Avg Salary]],7),"")</f>
        <v>2.7680999999999999E-3</v>
      </c>
      <c r="E182">
        <f>IFERROR(ROUND(FemalePayGapsByOccupationalSeriesAndRacialEthnicGroup[[#This Row],[Black Female Occ Dist]]*FemalePayGapsByOccupationalSeriesAndRacialEthnicGroup[[#This Row],[Black Female % White Male Avg Salary]],7),"")</f>
        <v>6.4589000000000001E-3</v>
      </c>
      <c r="F182">
        <f>IFERROR(ROUND(FemalePayGapsByOccupationalSeriesAndRacialEthnicGroup[[#This Row],[Hispanic - Latino Female Occ Dist]]*FemalePayGapsByOccupationalSeriesAndRacialEthnicGroup[[#This Row],[Hispanic Latino % White Female Avg Salary]],7),"")</f>
        <v>6.3961E-3</v>
      </c>
      <c r="G182">
        <f>IFERROR(ROUND(FemalePayGapsByOccupationalSeriesAndRacialEthnicGroup[[#This Row],[Other Female Occ Dist]]*FemalePayGapsByOccupationalSeriesAndRacialEthnicGroup[[#This Row],[Other Female % White Male Salary]],7),"")</f>
        <v>4.1869000000000003E-3</v>
      </c>
    </row>
    <row r="183" spans="1:7" ht="15.6" x14ac:dyDescent="0.3">
      <c r="A183" s="4" t="s">
        <v>192</v>
      </c>
      <c r="B183" s="4">
        <f>IFERROR(ROUND(FemalePayGapsByOccupationalSeriesAndRacialEthnicGroup[[#This Row],[White Female Occ Dist]]*FemalePayGapsByOccupationalSeriesAndRacialEthnicGroup[[#This Row],[White Female % White Male Avg Salary]],7),"")</f>
        <v>1.3139700000000001E-2</v>
      </c>
      <c r="C183">
        <f>IFERROR(ROUND(FemalePayGapsByOccupationalSeriesAndRacialEthnicGroup[[#This Row],[AIAN Female Occ Dist]]*FemalePayGapsByOccupationalSeriesAndRacialEthnicGroup[[#This Row],[AIAN Female % White Male Avg Salary]],7),"")</f>
        <v>2.2696000000000001E-2</v>
      </c>
      <c r="D183">
        <f>IFERROR(ROUND(FemalePayGapsByOccupationalSeriesAndRacialEthnicGroup[[#This Row],[ANHPI Female Occ Dist]]*FemalePayGapsByOccupationalSeriesAndRacialEthnicGroup[[#This Row],[ANHPI Female % White Male Avg Salary]],7),"")</f>
        <v>9.2069000000000005E-3</v>
      </c>
      <c r="E183">
        <f>IFERROR(ROUND(FemalePayGapsByOccupationalSeriesAndRacialEthnicGroup[[#This Row],[Black Female Occ Dist]]*FemalePayGapsByOccupationalSeriesAndRacialEthnicGroup[[#This Row],[Black Female % White Male Avg Salary]],7),"")</f>
        <v>4.0457699999999999E-2</v>
      </c>
      <c r="F183">
        <f>IFERROR(ROUND(FemalePayGapsByOccupationalSeriesAndRacialEthnicGroup[[#This Row],[Hispanic - Latino Female Occ Dist]]*FemalePayGapsByOccupationalSeriesAndRacialEthnicGroup[[#This Row],[Hispanic Latino % White Female Avg Salary]],7),"")</f>
        <v>4.8489699999999997E-2</v>
      </c>
      <c r="G183">
        <f>IFERROR(ROUND(FemalePayGapsByOccupationalSeriesAndRacialEthnicGroup[[#This Row],[Other Female Occ Dist]]*FemalePayGapsByOccupationalSeriesAndRacialEthnicGroup[[#This Row],[Other Female % White Male Salary]],7),"")</f>
        <v>1.6068499999999999E-2</v>
      </c>
    </row>
    <row r="184" spans="1:7" ht="15.6" x14ac:dyDescent="0.3">
      <c r="A184" s="4" t="s">
        <v>193</v>
      </c>
      <c r="B184" s="4">
        <f>IFERROR(ROUND(FemalePayGapsByOccupationalSeriesAndRacialEthnicGroup[[#This Row],[White Female Occ Dist]]*FemalePayGapsByOccupationalSeriesAndRacialEthnicGroup[[#This Row],[White Female % White Male Avg Salary]],7),"")</f>
        <v>1.7966E-3</v>
      </c>
      <c r="C18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8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84">
        <f>IFERROR(ROUND(FemalePayGapsByOccupationalSeriesAndRacialEthnicGroup[[#This Row],[Black Female Occ Dist]]*FemalePayGapsByOccupationalSeriesAndRacialEthnicGroup[[#This Row],[Black Female % White Male Avg Salary]],7),"")</f>
        <v>1.7137999999999999E-3</v>
      </c>
      <c r="F18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8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85" spans="1:7" ht="15.6" x14ac:dyDescent="0.3">
      <c r="A185" s="4" t="s">
        <v>194</v>
      </c>
      <c r="B185" s="4">
        <f>IFERROR(ROUND(FemalePayGapsByOccupationalSeriesAndRacialEthnicGroup[[#This Row],[White Female Occ Dist]]*FemalePayGapsByOccupationalSeriesAndRacialEthnicGroup[[#This Row],[White Female % White Male Avg Salary]],7),"")</f>
        <v>1.8660000000000001E-4</v>
      </c>
      <c r="C18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8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8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8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8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86" spans="1:7" ht="15.6" x14ac:dyDescent="0.3">
      <c r="A186" s="4" t="s">
        <v>195</v>
      </c>
      <c r="B186" s="4">
        <f>IFERROR(ROUND(FemalePayGapsByOccupationalSeriesAndRacialEthnicGroup[[#This Row],[White Female Occ Dist]]*FemalePayGapsByOccupationalSeriesAndRacialEthnicGroup[[#This Row],[White Female % White Male Avg Salary]],7),"")</f>
        <v>8.8630000000000002E-4</v>
      </c>
      <c r="C18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86">
        <f>IFERROR(ROUND(FemalePayGapsByOccupationalSeriesAndRacialEthnicGroup[[#This Row],[ANHPI Female Occ Dist]]*FemalePayGapsByOccupationalSeriesAndRacialEthnicGroup[[#This Row],[ANHPI Female % White Male Avg Salary]],7),"")</f>
        <v>9.5120000000000003E-4</v>
      </c>
      <c r="E186">
        <f>IFERROR(ROUND(FemalePayGapsByOccupationalSeriesAndRacialEthnicGroup[[#This Row],[Black Female Occ Dist]]*FemalePayGapsByOccupationalSeriesAndRacialEthnicGroup[[#This Row],[Black Female % White Male Avg Salary]],7),"")</f>
        <v>1.2263E-3</v>
      </c>
      <c r="F186">
        <f>IFERROR(ROUND(FemalePayGapsByOccupationalSeriesAndRacialEthnicGroup[[#This Row],[Hispanic - Latino Female Occ Dist]]*FemalePayGapsByOccupationalSeriesAndRacialEthnicGroup[[#This Row],[Hispanic Latino % White Female Avg Salary]],7),"")</f>
        <v>1.456E-3</v>
      </c>
      <c r="G18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87" spans="1:7" ht="15.6" x14ac:dyDescent="0.3">
      <c r="A187" s="4" t="s">
        <v>196</v>
      </c>
      <c r="B187" s="4">
        <f>IFERROR(ROUND(FemalePayGapsByOccupationalSeriesAndRacialEthnicGroup[[#This Row],[White Female Occ Dist]]*FemalePayGapsByOccupationalSeriesAndRacialEthnicGroup[[#This Row],[White Female % White Male Avg Salary]],7),"")</f>
        <v>3.7702999999999999E-3</v>
      </c>
      <c r="C18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87">
        <f>IFERROR(ROUND(FemalePayGapsByOccupationalSeriesAndRacialEthnicGroup[[#This Row],[ANHPI Female Occ Dist]]*FemalePayGapsByOccupationalSeriesAndRacialEthnicGroup[[#This Row],[ANHPI Female % White Male Avg Salary]],7),"")</f>
        <v>2.8841000000000001E-3</v>
      </c>
      <c r="E187">
        <f>IFERROR(ROUND(FemalePayGapsByOccupationalSeriesAndRacialEthnicGroup[[#This Row],[Black Female Occ Dist]]*FemalePayGapsByOccupationalSeriesAndRacialEthnicGroup[[#This Row],[Black Female % White Male Avg Salary]],7),"")</f>
        <v>6.3185999999999997E-3</v>
      </c>
      <c r="F187">
        <f>IFERROR(ROUND(FemalePayGapsByOccupationalSeriesAndRacialEthnicGroup[[#This Row],[Hispanic - Latino Female Occ Dist]]*FemalePayGapsByOccupationalSeriesAndRacialEthnicGroup[[#This Row],[Hispanic Latino % White Female Avg Salary]],7),"")</f>
        <v>7.8028999999999998E-3</v>
      </c>
      <c r="G187">
        <f>IFERROR(ROUND(FemalePayGapsByOccupationalSeriesAndRacialEthnicGroup[[#This Row],[Other Female Occ Dist]]*FemalePayGapsByOccupationalSeriesAndRacialEthnicGroup[[#This Row],[Other Female % White Male Salary]],7),"")</f>
        <v>4.2234000000000004E-3</v>
      </c>
    </row>
    <row r="188" spans="1:7" ht="15.6" x14ac:dyDescent="0.3">
      <c r="A188" s="4" t="s">
        <v>197</v>
      </c>
      <c r="B188" s="4">
        <f>IFERROR(ROUND(FemalePayGapsByOccupationalSeriesAndRacialEthnicGroup[[#This Row],[White Female Occ Dist]]*FemalePayGapsByOccupationalSeriesAndRacialEthnicGroup[[#This Row],[White Female % White Male Avg Salary]],7),"")</f>
        <v>1.55E-4</v>
      </c>
      <c r="C18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8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88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8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8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89" spans="1:7" ht="31.2" x14ac:dyDescent="0.3">
      <c r="A189" s="4" t="s">
        <v>198</v>
      </c>
      <c r="B189" s="4">
        <f>IFERROR(ROUND(FemalePayGapsByOccupationalSeriesAndRacialEthnicGroup[[#This Row],[White Female Occ Dist]]*FemalePayGapsByOccupationalSeriesAndRacialEthnicGroup[[#This Row],[White Female % White Male Avg Salary]],7),"")</f>
        <v>6.6169999999999998E-4</v>
      </c>
      <c r="C18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8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89">
        <f>IFERROR(ROUND(FemalePayGapsByOccupationalSeriesAndRacialEthnicGroup[[#This Row],[Black Female Occ Dist]]*FemalePayGapsByOccupationalSeriesAndRacialEthnicGroup[[#This Row],[Black Female % White Male Avg Salary]],7),"")</f>
        <v>1.3025000000000001E-3</v>
      </c>
      <c r="F189">
        <f>IFERROR(ROUND(FemalePayGapsByOccupationalSeriesAndRacialEthnicGroup[[#This Row],[Hispanic - Latino Female Occ Dist]]*FemalePayGapsByOccupationalSeriesAndRacialEthnicGroup[[#This Row],[Hispanic Latino % White Female Avg Salary]],7),"")</f>
        <v>7.7309999999999998E-4</v>
      </c>
      <c r="G18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90" spans="1:7" ht="15.6" x14ac:dyDescent="0.3">
      <c r="A190" s="4" t="s">
        <v>199</v>
      </c>
      <c r="B190" s="4">
        <f>IFERROR(ROUND(FemalePayGapsByOccupationalSeriesAndRacialEthnicGroup[[#This Row],[White Female Occ Dist]]*FemalePayGapsByOccupationalSeriesAndRacialEthnicGroup[[#This Row],[White Female % White Male Avg Salary]],7),"")</f>
        <v>1.3640000000000001E-4</v>
      </c>
      <c r="C19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9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90">
        <f>IFERROR(ROUND(FemalePayGapsByOccupationalSeriesAndRacialEthnicGroup[[#This Row],[Black Female Occ Dist]]*FemalePayGapsByOccupationalSeriesAndRacialEthnicGroup[[#This Row],[Black Female % White Male Avg Salary]],7),"")</f>
        <v>4.7830000000000003E-4</v>
      </c>
      <c r="F19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9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91" spans="1:7" ht="15.6" x14ac:dyDescent="0.3">
      <c r="A191" s="4" t="s">
        <v>200</v>
      </c>
      <c r="B191" s="4">
        <f>IFERROR(ROUND(FemalePayGapsByOccupationalSeriesAndRacialEthnicGroup[[#This Row],[White Female Occ Dist]]*FemalePayGapsByOccupationalSeriesAndRacialEthnicGroup[[#This Row],[White Female % White Male Avg Salary]],7),"")</f>
        <v>8.208E-3</v>
      </c>
      <c r="C191">
        <f>IFERROR(ROUND(FemalePayGapsByOccupationalSeriesAndRacialEthnicGroup[[#This Row],[AIAN Female Occ Dist]]*FemalePayGapsByOccupationalSeriesAndRacialEthnicGroup[[#This Row],[AIAN Female % White Male Avg Salary]],7),"")</f>
        <v>1.09122E-2</v>
      </c>
      <c r="D191">
        <f>IFERROR(ROUND(FemalePayGapsByOccupationalSeriesAndRacialEthnicGroup[[#This Row],[ANHPI Female Occ Dist]]*FemalePayGapsByOccupationalSeriesAndRacialEthnicGroup[[#This Row],[ANHPI Female % White Male Avg Salary]],7),"")</f>
        <v>4.1887000000000001E-3</v>
      </c>
      <c r="E191">
        <f>IFERROR(ROUND(FemalePayGapsByOccupationalSeriesAndRacialEthnicGroup[[#This Row],[Black Female Occ Dist]]*FemalePayGapsByOccupationalSeriesAndRacialEthnicGroup[[#This Row],[Black Female % White Male Avg Salary]],7),"")</f>
        <v>1.25678E-2</v>
      </c>
      <c r="F191">
        <f>IFERROR(ROUND(FemalePayGapsByOccupationalSeriesAndRacialEthnicGroup[[#This Row],[Hispanic - Latino Female Occ Dist]]*FemalePayGapsByOccupationalSeriesAndRacialEthnicGroup[[#This Row],[Hispanic Latino % White Female Avg Salary]],7),"")</f>
        <v>5.4457000000000004E-3</v>
      </c>
      <c r="G191">
        <f>IFERROR(ROUND(FemalePayGapsByOccupationalSeriesAndRacialEthnicGroup[[#This Row],[Other Female Occ Dist]]*FemalePayGapsByOccupationalSeriesAndRacialEthnicGroup[[#This Row],[Other Female % White Male Salary]],7),"")</f>
        <v>1.17378E-2</v>
      </c>
    </row>
    <row r="192" spans="1:7" ht="15.6" x14ac:dyDescent="0.3">
      <c r="A192" s="4" t="s">
        <v>201</v>
      </c>
      <c r="B192" s="4">
        <f>IFERROR(ROUND(FemalePayGapsByOccupationalSeriesAndRacialEthnicGroup[[#This Row],[White Female Occ Dist]]*FemalePayGapsByOccupationalSeriesAndRacialEthnicGroup[[#This Row],[White Female % White Male Avg Salary]],7),"")</f>
        <v>4.7919999999999999E-4</v>
      </c>
      <c r="C19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9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92">
        <f>IFERROR(ROUND(FemalePayGapsByOccupationalSeriesAndRacialEthnicGroup[[#This Row],[Black Female Occ Dist]]*FemalePayGapsByOccupationalSeriesAndRacialEthnicGroup[[#This Row],[Black Female % White Male Avg Salary]],7),"")</f>
        <v>2.6237000000000001E-3</v>
      </c>
      <c r="F19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9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93" spans="1:7" ht="15.6" x14ac:dyDescent="0.3">
      <c r="A193" s="4" t="s">
        <v>202</v>
      </c>
      <c r="B193" s="4">
        <f>IFERROR(ROUND(FemalePayGapsByOccupationalSeriesAndRacialEthnicGroup[[#This Row],[White Female Occ Dist]]*FemalePayGapsByOccupationalSeriesAndRacialEthnicGroup[[#This Row],[White Female % White Male Avg Salary]],7),"")</f>
        <v>2.7888000000000001E-3</v>
      </c>
      <c r="C19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93">
        <f>IFERROR(ROUND(FemalePayGapsByOccupationalSeriesAndRacialEthnicGroup[[#This Row],[ANHPI Female Occ Dist]]*FemalePayGapsByOccupationalSeriesAndRacialEthnicGroup[[#This Row],[ANHPI Female % White Male Avg Salary]],7),"")</f>
        <v>2.5544999999999999E-3</v>
      </c>
      <c r="E193">
        <f>IFERROR(ROUND(FemalePayGapsByOccupationalSeriesAndRacialEthnicGroup[[#This Row],[Black Female Occ Dist]]*FemalePayGapsByOccupationalSeriesAndRacialEthnicGroup[[#This Row],[Black Female % White Male Avg Salary]],7),"")</f>
        <v>1.7110999999999999E-3</v>
      </c>
      <c r="F193">
        <f>IFERROR(ROUND(FemalePayGapsByOccupationalSeriesAndRacialEthnicGroup[[#This Row],[Hispanic - Latino Female Occ Dist]]*FemalePayGapsByOccupationalSeriesAndRacialEthnicGroup[[#This Row],[Hispanic Latino % White Female Avg Salary]],7),"")</f>
        <v>1.3335E-3</v>
      </c>
      <c r="G19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94" spans="1:7" ht="15.6" x14ac:dyDescent="0.3">
      <c r="A194" s="4" t="s">
        <v>203</v>
      </c>
      <c r="B194" s="4">
        <f>IFERROR(ROUND(FemalePayGapsByOccupationalSeriesAndRacialEthnicGroup[[#This Row],[White Female Occ Dist]]*FemalePayGapsByOccupationalSeriesAndRacialEthnicGroup[[#This Row],[White Female % White Male Avg Salary]],7),"")</f>
        <v>6.0919999999999995E-4</v>
      </c>
      <c r="C19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9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9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9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9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95" spans="1:7" ht="15.6" x14ac:dyDescent="0.3">
      <c r="A195" s="4" t="s">
        <v>204</v>
      </c>
      <c r="B195" s="4">
        <f>IFERROR(ROUND(FemalePayGapsByOccupationalSeriesAndRacialEthnicGroup[[#This Row],[White Female Occ Dist]]*FemalePayGapsByOccupationalSeriesAndRacialEthnicGroup[[#This Row],[White Female % White Male Avg Salary]],7),"")</f>
        <v>6.1400000000000002E-5</v>
      </c>
      <c r="C19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9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9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9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9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96" spans="1:7" ht="15.6" x14ac:dyDescent="0.3">
      <c r="A196" s="4" t="s">
        <v>205</v>
      </c>
      <c r="B196" s="4">
        <f>IFERROR(ROUND(FemalePayGapsByOccupationalSeriesAndRacialEthnicGroup[[#This Row],[White Female Occ Dist]]*FemalePayGapsByOccupationalSeriesAndRacialEthnicGroup[[#This Row],[White Female % White Male Avg Salary]],7),"")</f>
        <v>5.1000000000000004E-4</v>
      </c>
      <c r="C19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9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9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9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9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97" spans="1:7" ht="15.6" x14ac:dyDescent="0.3">
      <c r="A197" s="4" t="s">
        <v>206</v>
      </c>
      <c r="B197" s="4">
        <f>IFERROR(ROUND(FemalePayGapsByOccupationalSeriesAndRacialEthnicGroup[[#This Row],[White Female Occ Dist]]*FemalePayGapsByOccupationalSeriesAndRacialEthnicGroup[[#This Row],[White Female % White Male Avg Salary]],7),"")</f>
        <v>6.9300000000000004E-4</v>
      </c>
      <c r="C19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9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197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9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19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198" spans="1:7" ht="15.6" x14ac:dyDescent="0.3">
      <c r="A198" s="4" t="s">
        <v>207</v>
      </c>
      <c r="B198" s="4">
        <f>IFERROR(ROUND(FemalePayGapsByOccupationalSeriesAndRacialEthnicGroup[[#This Row],[White Female Occ Dist]]*FemalePayGapsByOccupationalSeriesAndRacialEthnicGroup[[#This Row],[White Female % White Male Avg Salary]],7),"")</f>
        <v>5.0422000000000002E-3</v>
      </c>
      <c r="C19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98">
        <f>IFERROR(ROUND(FemalePayGapsByOccupationalSeriesAndRacialEthnicGroup[[#This Row],[ANHPI Female Occ Dist]]*FemalePayGapsByOccupationalSeriesAndRacialEthnicGroup[[#This Row],[ANHPI Female % White Male Avg Salary]],7),"")</f>
        <v>2.1917999999999998E-3</v>
      </c>
      <c r="E198">
        <f>IFERROR(ROUND(FemalePayGapsByOccupationalSeriesAndRacialEthnicGroup[[#This Row],[Black Female Occ Dist]]*FemalePayGapsByOccupationalSeriesAndRacialEthnicGroup[[#This Row],[Black Female % White Male Avg Salary]],7),"")</f>
        <v>2.6182000000000002E-3</v>
      </c>
      <c r="F198">
        <f>IFERROR(ROUND(FemalePayGapsByOccupationalSeriesAndRacialEthnicGroup[[#This Row],[Hispanic - Latino Female Occ Dist]]*FemalePayGapsByOccupationalSeriesAndRacialEthnicGroup[[#This Row],[Hispanic Latino % White Female Avg Salary]],7),"")</f>
        <v>3.6329999999999999E-3</v>
      </c>
      <c r="G198">
        <f>IFERROR(ROUND(FemalePayGapsByOccupationalSeriesAndRacialEthnicGroup[[#This Row],[Other Female Occ Dist]]*FemalePayGapsByOccupationalSeriesAndRacialEthnicGroup[[#This Row],[Other Female % White Male Salary]],7),"")</f>
        <v>5.9446999999999998E-3</v>
      </c>
    </row>
    <row r="199" spans="1:7" ht="15.6" x14ac:dyDescent="0.3">
      <c r="A199" s="4" t="s">
        <v>208</v>
      </c>
      <c r="B199" s="4">
        <f>IFERROR(ROUND(FemalePayGapsByOccupationalSeriesAndRacialEthnicGroup[[#This Row],[White Female Occ Dist]]*FemalePayGapsByOccupationalSeriesAndRacialEthnicGroup[[#This Row],[White Female % White Male Avg Salary]],7),"")</f>
        <v>5.1699999999999999E-4</v>
      </c>
      <c r="C19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199">
        <f>IFERROR(ROUND(FemalePayGapsByOccupationalSeriesAndRacialEthnicGroup[[#This Row],[ANHPI Female Occ Dist]]*FemalePayGapsByOccupationalSeriesAndRacialEthnicGroup[[#This Row],[ANHPI Female % White Male Avg Salary]],7),"")</f>
        <v>1.4184E-3</v>
      </c>
      <c r="E199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199">
        <f>IFERROR(ROUND(FemalePayGapsByOccupationalSeriesAndRacialEthnicGroup[[#This Row],[Hispanic - Latino Female Occ Dist]]*FemalePayGapsByOccupationalSeriesAndRacialEthnicGroup[[#This Row],[Hispanic Latino % White Female Avg Salary]],7),"")</f>
        <v>2.3551000000000002E-3</v>
      </c>
      <c r="G19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00" spans="1:7" ht="15.6" x14ac:dyDescent="0.3">
      <c r="A200" s="4" t="s">
        <v>209</v>
      </c>
      <c r="B200" s="4">
        <f>IFERROR(ROUND(FemalePayGapsByOccupationalSeriesAndRacialEthnicGroup[[#This Row],[White Female Occ Dist]]*FemalePayGapsByOccupationalSeriesAndRacialEthnicGroup[[#This Row],[White Female % White Male Avg Salary]],7),"")</f>
        <v>1.571E-4</v>
      </c>
      <c r="C20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0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00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0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0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01" spans="1:7" ht="15.6" x14ac:dyDescent="0.3">
      <c r="A201" s="4" t="s">
        <v>210</v>
      </c>
      <c r="B201" s="4">
        <f>IFERROR(ROUND(FemalePayGapsByOccupationalSeriesAndRacialEthnicGroup[[#This Row],[White Female Occ Dist]]*FemalePayGapsByOccupationalSeriesAndRacialEthnicGroup[[#This Row],[White Female % White Male Avg Salary]],7),"")</f>
        <v>1.6770000000000001E-4</v>
      </c>
      <c r="C20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0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01">
        <f>IFERROR(ROUND(FemalePayGapsByOccupationalSeriesAndRacialEthnicGroup[[#This Row],[Black Female Occ Dist]]*FemalePayGapsByOccupationalSeriesAndRacialEthnicGroup[[#This Row],[Black Female % White Male Avg Salary]],7),"")</f>
        <v>1.7809999999999999E-4</v>
      </c>
      <c r="F20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0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02" spans="1:7" ht="15.6" x14ac:dyDescent="0.3">
      <c r="A202" s="4" t="s">
        <v>211</v>
      </c>
      <c r="B202" s="4">
        <f>IFERROR(ROUND(FemalePayGapsByOccupationalSeriesAndRacialEthnicGroup[[#This Row],[White Female Occ Dist]]*FemalePayGapsByOccupationalSeriesAndRacialEthnicGroup[[#This Row],[White Female % White Male Avg Salary]],7),"")</f>
        <v>1.1383999999999999E-3</v>
      </c>
      <c r="C20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0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02">
        <f>IFERROR(ROUND(FemalePayGapsByOccupationalSeriesAndRacialEthnicGroup[[#This Row],[Black Female Occ Dist]]*FemalePayGapsByOccupationalSeriesAndRacialEthnicGroup[[#This Row],[Black Female % White Male Avg Salary]],7),"")</f>
        <v>5.1920000000000004E-4</v>
      </c>
      <c r="F20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0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03" spans="1:7" ht="15.6" x14ac:dyDescent="0.3">
      <c r="A203" s="4" t="s">
        <v>212</v>
      </c>
      <c r="B203" s="4">
        <f>IFERROR(ROUND(FemalePayGapsByOccupationalSeriesAndRacialEthnicGroup[[#This Row],[White Female Occ Dist]]*FemalePayGapsByOccupationalSeriesAndRacialEthnicGroup[[#This Row],[White Female % White Male Avg Salary]],7),"")</f>
        <v>9.7499999999999996E-4</v>
      </c>
      <c r="C20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0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03">
        <f>IFERROR(ROUND(FemalePayGapsByOccupationalSeriesAndRacialEthnicGroup[[#This Row],[Black Female Occ Dist]]*FemalePayGapsByOccupationalSeriesAndRacialEthnicGroup[[#This Row],[Black Female % White Male Avg Salary]],7),"")</f>
        <v>3.4099999999999999E-4</v>
      </c>
      <c r="F20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0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04" spans="1:7" ht="15.6" x14ac:dyDescent="0.3">
      <c r="A204" s="4" t="s">
        <v>213</v>
      </c>
      <c r="B204" s="4">
        <f>IFERROR(ROUND(FemalePayGapsByOccupationalSeriesAndRacialEthnicGroup[[#This Row],[White Female Occ Dist]]*FemalePayGapsByOccupationalSeriesAndRacialEthnicGroup[[#This Row],[White Female % White Male Avg Salary]],7),"")</f>
        <v>9.0799999999999995E-4</v>
      </c>
      <c r="C20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0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04">
        <f>IFERROR(ROUND(FemalePayGapsByOccupationalSeriesAndRacialEthnicGroup[[#This Row],[Black Female Occ Dist]]*FemalePayGapsByOccupationalSeriesAndRacialEthnicGroup[[#This Row],[Black Female % White Male Avg Salary]],7),"")</f>
        <v>5.1420000000000003E-4</v>
      </c>
      <c r="F204">
        <f>IFERROR(ROUND(FemalePayGapsByOccupationalSeriesAndRacialEthnicGroup[[#This Row],[Hispanic - Latino Female Occ Dist]]*FemalePayGapsByOccupationalSeriesAndRacialEthnicGroup[[#This Row],[Hispanic Latino % White Female Avg Salary]],7),"")</f>
        <v>6.4440000000000005E-4</v>
      </c>
      <c r="G20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05" spans="1:7" ht="15.6" x14ac:dyDescent="0.3">
      <c r="A205" s="4" t="s">
        <v>214</v>
      </c>
      <c r="B205" s="4">
        <f>IFERROR(ROUND(FemalePayGapsByOccupationalSeriesAndRacialEthnicGroup[[#This Row],[White Female Occ Dist]]*FemalePayGapsByOccupationalSeriesAndRacialEthnicGroup[[#This Row],[White Female % White Male Avg Salary]],7),"")</f>
        <v>1.3810599999999999E-2</v>
      </c>
      <c r="C205">
        <f>IFERROR(ROUND(FemalePayGapsByOccupationalSeriesAndRacialEthnicGroup[[#This Row],[AIAN Female Occ Dist]]*FemalePayGapsByOccupationalSeriesAndRacialEthnicGroup[[#This Row],[AIAN Female % White Male Avg Salary]],7),"")</f>
        <v>1.17471E-2</v>
      </c>
      <c r="D205">
        <f>IFERROR(ROUND(FemalePayGapsByOccupationalSeriesAndRacialEthnicGroup[[#This Row],[ANHPI Female Occ Dist]]*FemalePayGapsByOccupationalSeriesAndRacialEthnicGroup[[#This Row],[ANHPI Female % White Male Avg Salary]],7),"")</f>
        <v>1.0169900000000001E-2</v>
      </c>
      <c r="E205">
        <f>IFERROR(ROUND(FemalePayGapsByOccupationalSeriesAndRacialEthnicGroup[[#This Row],[Black Female Occ Dist]]*FemalePayGapsByOccupationalSeriesAndRacialEthnicGroup[[#This Row],[Black Female % White Male Avg Salary]],7),"")</f>
        <v>1.4164599999999999E-2</v>
      </c>
      <c r="F205">
        <f>IFERROR(ROUND(FemalePayGapsByOccupationalSeriesAndRacialEthnicGroup[[#This Row],[Hispanic - Latino Female Occ Dist]]*FemalePayGapsByOccupationalSeriesAndRacialEthnicGroup[[#This Row],[Hispanic Latino % White Female Avg Salary]],7),"")</f>
        <v>1.05208E-2</v>
      </c>
      <c r="G205">
        <f>IFERROR(ROUND(FemalePayGapsByOccupationalSeriesAndRacialEthnicGroup[[#This Row],[Other Female Occ Dist]]*FemalePayGapsByOccupationalSeriesAndRacialEthnicGroup[[#This Row],[Other Female % White Male Salary]],7),"")</f>
        <v>1.4763699999999999E-2</v>
      </c>
    </row>
    <row r="206" spans="1:7" ht="15.6" x14ac:dyDescent="0.3">
      <c r="A206" s="4" t="s">
        <v>215</v>
      </c>
      <c r="B206" s="4">
        <f>IFERROR(ROUND(FemalePayGapsByOccupationalSeriesAndRacialEthnicGroup[[#This Row],[White Female Occ Dist]]*FemalePayGapsByOccupationalSeriesAndRacialEthnicGroup[[#This Row],[White Female % White Male Avg Salary]],7),"")</f>
        <v>2.5909000000000001E-2</v>
      </c>
      <c r="C206">
        <f>IFERROR(ROUND(FemalePayGapsByOccupationalSeriesAndRacialEthnicGroup[[#This Row],[AIAN Female Occ Dist]]*FemalePayGapsByOccupationalSeriesAndRacialEthnicGroup[[#This Row],[AIAN Female % White Male Avg Salary]],7),"")</f>
        <v>1.15835E-2</v>
      </c>
      <c r="D206">
        <f>IFERROR(ROUND(FemalePayGapsByOccupationalSeriesAndRacialEthnicGroup[[#This Row],[ANHPI Female Occ Dist]]*FemalePayGapsByOccupationalSeriesAndRacialEthnicGroup[[#This Row],[ANHPI Female % White Male Avg Salary]],7),"")</f>
        <v>1.9511299999999999E-2</v>
      </c>
      <c r="E206">
        <f>IFERROR(ROUND(FemalePayGapsByOccupationalSeriesAndRacialEthnicGroup[[#This Row],[Black Female Occ Dist]]*FemalePayGapsByOccupationalSeriesAndRacialEthnicGroup[[#This Row],[Black Female % White Male Avg Salary]],7),"")</f>
        <v>2.9604100000000001E-2</v>
      </c>
      <c r="F206">
        <f>IFERROR(ROUND(FemalePayGapsByOccupationalSeriesAndRacialEthnicGroup[[#This Row],[Hispanic - Latino Female Occ Dist]]*FemalePayGapsByOccupationalSeriesAndRacialEthnicGroup[[#This Row],[Hispanic Latino % White Female Avg Salary]],7),"")</f>
        <v>1.9483500000000001E-2</v>
      </c>
      <c r="G206">
        <f>IFERROR(ROUND(FemalePayGapsByOccupationalSeriesAndRacialEthnicGroup[[#This Row],[Other Female Occ Dist]]*FemalePayGapsByOccupationalSeriesAndRacialEthnicGroup[[#This Row],[Other Female % White Male Salary]],7),"")</f>
        <v>3.6309599999999997E-2</v>
      </c>
    </row>
    <row r="207" spans="1:7" ht="15.6" x14ac:dyDescent="0.3">
      <c r="A207" s="4" t="s">
        <v>216</v>
      </c>
      <c r="B207" s="4">
        <f>IFERROR(ROUND(FemalePayGapsByOccupationalSeriesAndRacialEthnicGroup[[#This Row],[White Female Occ Dist]]*FemalePayGapsByOccupationalSeriesAndRacialEthnicGroup[[#This Row],[White Female % White Male Avg Salary]],7),"")</f>
        <v>1.6000000000000001E-4</v>
      </c>
      <c r="C20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0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07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0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0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08" spans="1:7" ht="15.6" x14ac:dyDescent="0.3">
      <c r="A208" s="4" t="s">
        <v>217</v>
      </c>
      <c r="B208" s="4">
        <f>IFERROR(ROUND(FemalePayGapsByOccupationalSeriesAndRacialEthnicGroup[[#This Row],[White Female Occ Dist]]*FemalePayGapsByOccupationalSeriesAndRacialEthnicGroup[[#This Row],[White Female % White Male Avg Salary]],7),"")</f>
        <v>1.7420000000000001E-4</v>
      </c>
      <c r="C20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0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08">
        <f>IFERROR(ROUND(FemalePayGapsByOccupationalSeriesAndRacialEthnicGroup[[#This Row],[Black Female Occ Dist]]*FemalePayGapsByOccupationalSeriesAndRacialEthnicGroup[[#This Row],[Black Female % White Male Avg Salary]],7),"")</f>
        <v>2.9530000000000002E-4</v>
      </c>
      <c r="F20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0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09" spans="1:7" ht="15.6" x14ac:dyDescent="0.3">
      <c r="A209" s="4" t="s">
        <v>218</v>
      </c>
      <c r="B209" s="4">
        <f>IFERROR(ROUND(FemalePayGapsByOccupationalSeriesAndRacialEthnicGroup[[#This Row],[White Female Occ Dist]]*FemalePayGapsByOccupationalSeriesAndRacialEthnicGroup[[#This Row],[White Female % White Male Avg Salary]],7),"")</f>
        <v>1.9987E-3</v>
      </c>
      <c r="C20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09">
        <f>IFERROR(ROUND(FemalePayGapsByOccupationalSeriesAndRacialEthnicGroup[[#This Row],[ANHPI Female Occ Dist]]*FemalePayGapsByOccupationalSeriesAndRacialEthnicGroup[[#This Row],[ANHPI Female % White Male Avg Salary]],7),"")</f>
        <v>1.248E-3</v>
      </c>
      <c r="E209">
        <f>IFERROR(ROUND(FemalePayGapsByOccupationalSeriesAndRacialEthnicGroup[[#This Row],[Black Female Occ Dist]]*FemalePayGapsByOccupationalSeriesAndRacialEthnicGroup[[#This Row],[Black Female % White Male Avg Salary]],7),"")</f>
        <v>2.8746000000000002E-3</v>
      </c>
      <c r="F209">
        <f>IFERROR(ROUND(FemalePayGapsByOccupationalSeriesAndRacialEthnicGroup[[#This Row],[Hispanic - Latino Female Occ Dist]]*FemalePayGapsByOccupationalSeriesAndRacialEthnicGroup[[#This Row],[Hispanic Latino % White Female Avg Salary]],7),"")</f>
        <v>1.7317000000000001E-3</v>
      </c>
      <c r="G20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10" spans="1:7" ht="15.6" x14ac:dyDescent="0.3">
      <c r="A210" s="4" t="s">
        <v>219</v>
      </c>
      <c r="B210" s="4">
        <f>IFERROR(ROUND(FemalePayGapsByOccupationalSeriesAndRacialEthnicGroup[[#This Row],[White Female Occ Dist]]*FemalePayGapsByOccupationalSeriesAndRacialEthnicGroup[[#This Row],[White Female % White Male Avg Salary]],7),"")</f>
        <v>7.7030000000000002E-4</v>
      </c>
      <c r="C21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1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10">
        <f>IFERROR(ROUND(FemalePayGapsByOccupationalSeriesAndRacialEthnicGroup[[#This Row],[Black Female Occ Dist]]*FemalePayGapsByOccupationalSeriesAndRacialEthnicGroup[[#This Row],[Black Female % White Male Avg Salary]],7),"")</f>
        <v>7.8209999999999998E-4</v>
      </c>
      <c r="F21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1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11" spans="1:7" ht="15.6" x14ac:dyDescent="0.3">
      <c r="A211" s="4" t="s">
        <v>220</v>
      </c>
      <c r="B211" s="4">
        <f>IFERROR(ROUND(FemalePayGapsByOccupationalSeriesAndRacialEthnicGroup[[#This Row],[White Female Occ Dist]]*FemalePayGapsByOccupationalSeriesAndRacialEthnicGroup[[#This Row],[White Female % White Male Avg Salary]],7),"")</f>
        <v>2.0587000000000001E-3</v>
      </c>
      <c r="C21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11">
        <f>IFERROR(ROUND(FemalePayGapsByOccupationalSeriesAndRacialEthnicGroup[[#This Row],[ANHPI Female Occ Dist]]*FemalePayGapsByOccupationalSeriesAndRacialEthnicGroup[[#This Row],[ANHPI Female % White Male Avg Salary]],7),"")</f>
        <v>2.0400000000000001E-3</v>
      </c>
      <c r="E211">
        <f>IFERROR(ROUND(FemalePayGapsByOccupationalSeriesAndRacialEthnicGroup[[#This Row],[Black Female Occ Dist]]*FemalePayGapsByOccupationalSeriesAndRacialEthnicGroup[[#This Row],[Black Female % White Male Avg Salary]],7),"")</f>
        <v>3.4971999999999998E-3</v>
      </c>
      <c r="F211">
        <f>IFERROR(ROUND(FemalePayGapsByOccupationalSeriesAndRacialEthnicGroup[[#This Row],[Hispanic - Latino Female Occ Dist]]*FemalePayGapsByOccupationalSeriesAndRacialEthnicGroup[[#This Row],[Hispanic Latino % White Female Avg Salary]],7),"")</f>
        <v>1.6065000000000001E-3</v>
      </c>
      <c r="G21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12" spans="1:7" ht="15.6" x14ac:dyDescent="0.3">
      <c r="A212" s="4" t="s">
        <v>221</v>
      </c>
      <c r="B212" s="4">
        <f>IFERROR(ROUND(FemalePayGapsByOccupationalSeriesAndRacialEthnicGroup[[#This Row],[White Female Occ Dist]]*FemalePayGapsByOccupationalSeriesAndRacialEthnicGroup[[#This Row],[White Female % White Male Avg Salary]],7),"")</f>
        <v>4.0700000000000003E-4</v>
      </c>
      <c r="C21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1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12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1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1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13" spans="1:7" ht="15.6" x14ac:dyDescent="0.3">
      <c r="A213" s="4" t="s">
        <v>222</v>
      </c>
      <c r="B213" s="4">
        <f>IFERROR(ROUND(FemalePayGapsByOccupationalSeriesAndRacialEthnicGroup[[#This Row],[White Female Occ Dist]]*FemalePayGapsByOccupationalSeriesAndRacialEthnicGroup[[#This Row],[White Female % White Male Avg Salary]],7),"")</f>
        <v>5.5809999999999996E-4</v>
      </c>
      <c r="C21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1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1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1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1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14" spans="1:7" ht="15.6" x14ac:dyDescent="0.3">
      <c r="A214" s="4" t="s">
        <v>223</v>
      </c>
      <c r="B214" s="4">
        <f>IFERROR(ROUND(FemalePayGapsByOccupationalSeriesAndRacialEthnicGroup[[#This Row],[White Female Occ Dist]]*FemalePayGapsByOccupationalSeriesAndRacialEthnicGroup[[#This Row],[White Female % White Male Avg Salary]],7),"")</f>
        <v>4.7790000000000002E-4</v>
      </c>
      <c r="C21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14">
        <f>IFERROR(ROUND(FemalePayGapsByOccupationalSeriesAndRacialEthnicGroup[[#This Row],[ANHPI Female Occ Dist]]*FemalePayGapsByOccupationalSeriesAndRacialEthnicGroup[[#This Row],[ANHPI Female % White Male Avg Salary]],7),"")</f>
        <v>1.4288E-3</v>
      </c>
      <c r="E214">
        <f>IFERROR(ROUND(FemalePayGapsByOccupationalSeriesAndRacialEthnicGroup[[#This Row],[Black Female Occ Dist]]*FemalePayGapsByOccupationalSeriesAndRacialEthnicGroup[[#This Row],[Black Female % White Male Avg Salary]],7),"")</f>
        <v>6.2799999999999998E-4</v>
      </c>
      <c r="F214">
        <f>IFERROR(ROUND(FemalePayGapsByOccupationalSeriesAndRacialEthnicGroup[[#This Row],[Hispanic - Latino Female Occ Dist]]*FemalePayGapsByOccupationalSeriesAndRacialEthnicGroup[[#This Row],[Hispanic Latino % White Female Avg Salary]],7),"")</f>
        <v>6.6989999999999997E-4</v>
      </c>
      <c r="G21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15" spans="1:7" ht="15.6" x14ac:dyDescent="0.3">
      <c r="A215" s="4" t="s">
        <v>224</v>
      </c>
      <c r="B215" s="4">
        <f>IFERROR(ROUND(FemalePayGapsByOccupationalSeriesAndRacialEthnicGroup[[#This Row],[White Female Occ Dist]]*FemalePayGapsByOccupationalSeriesAndRacialEthnicGroup[[#This Row],[White Female % White Male Avg Salary]],7),"")</f>
        <v>3.8020000000000003E-4</v>
      </c>
      <c r="C21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1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1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1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1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16" spans="1:7" ht="15.6" x14ac:dyDescent="0.3">
      <c r="A216" s="4" t="s">
        <v>225</v>
      </c>
      <c r="B216" s="4">
        <f>IFERROR(ROUND(FemalePayGapsByOccupationalSeriesAndRacialEthnicGroup[[#This Row],[White Female Occ Dist]]*FemalePayGapsByOccupationalSeriesAndRacialEthnicGroup[[#This Row],[White Female % White Male Avg Salary]],7),"")</f>
        <v>3.5740000000000001E-4</v>
      </c>
      <c r="C21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1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1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1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1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17" spans="1:7" ht="15.6" x14ac:dyDescent="0.3">
      <c r="A217" s="4" t="s">
        <v>226</v>
      </c>
      <c r="B217" s="4">
        <f>IFERROR(ROUND(FemalePayGapsByOccupationalSeriesAndRacialEthnicGroup[[#This Row],[White Female Occ Dist]]*FemalePayGapsByOccupationalSeriesAndRacialEthnicGroup[[#This Row],[White Female % White Male Avg Salary]],7),"")</f>
        <v>9.5799999999999998E-5</v>
      </c>
      <c r="C21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1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17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1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1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18" spans="1:7" ht="15.6" x14ac:dyDescent="0.3">
      <c r="A218" s="4" t="s">
        <v>227</v>
      </c>
      <c r="B218" s="4">
        <f>IFERROR(ROUND(FemalePayGapsByOccupationalSeriesAndRacialEthnicGroup[[#This Row],[White Female Occ Dist]]*FemalePayGapsByOccupationalSeriesAndRacialEthnicGroup[[#This Row],[White Female % White Male Avg Salary]],7),"")</f>
        <v>3.4420000000000002E-4</v>
      </c>
      <c r="C21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1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18">
        <f>IFERROR(ROUND(FemalePayGapsByOccupationalSeriesAndRacialEthnicGroup[[#This Row],[Black Female Occ Dist]]*FemalePayGapsByOccupationalSeriesAndRacialEthnicGroup[[#This Row],[Black Female % White Male Avg Salary]],7),"")</f>
        <v>2.9940000000000001E-4</v>
      </c>
      <c r="F21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1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19" spans="1:7" ht="15.6" x14ac:dyDescent="0.3">
      <c r="A219" s="4" t="s">
        <v>228</v>
      </c>
      <c r="B219" s="4">
        <f>IFERROR(ROUND(FemalePayGapsByOccupationalSeriesAndRacialEthnicGroup[[#This Row],[White Female Occ Dist]]*FemalePayGapsByOccupationalSeriesAndRacialEthnicGroup[[#This Row],[White Female % White Male Avg Salary]],7),"")</f>
        <v>1.7928E-3</v>
      </c>
      <c r="C21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19">
        <f>IFERROR(ROUND(FemalePayGapsByOccupationalSeriesAndRacialEthnicGroup[[#This Row],[ANHPI Female Occ Dist]]*FemalePayGapsByOccupationalSeriesAndRacialEthnicGroup[[#This Row],[ANHPI Female % White Male Avg Salary]],7),"")</f>
        <v>9.9080000000000001E-4</v>
      </c>
      <c r="E219">
        <f>IFERROR(ROUND(FemalePayGapsByOccupationalSeriesAndRacialEthnicGroup[[#This Row],[Black Female Occ Dist]]*FemalePayGapsByOccupationalSeriesAndRacialEthnicGroup[[#This Row],[Black Female % White Male Avg Salary]],7),"")</f>
        <v>1.1336E-3</v>
      </c>
      <c r="F219">
        <f>IFERROR(ROUND(FemalePayGapsByOccupationalSeriesAndRacialEthnicGroup[[#This Row],[Hispanic - Latino Female Occ Dist]]*FemalePayGapsByOccupationalSeriesAndRacialEthnicGroup[[#This Row],[Hispanic Latino % White Female Avg Salary]],7),"")</f>
        <v>1.8220000000000001E-3</v>
      </c>
      <c r="G219">
        <f>IFERROR(ROUND(FemalePayGapsByOccupationalSeriesAndRacialEthnicGroup[[#This Row],[Other Female Occ Dist]]*FemalePayGapsByOccupationalSeriesAndRacialEthnicGroup[[#This Row],[Other Female % White Male Salary]],7),"")</f>
        <v>2.4792E-3</v>
      </c>
    </row>
    <row r="220" spans="1:7" ht="15.6" x14ac:dyDescent="0.3">
      <c r="A220" s="4" t="s">
        <v>229</v>
      </c>
      <c r="B220" s="4">
        <f>IFERROR(ROUND(FemalePayGapsByOccupationalSeriesAndRacialEthnicGroup[[#This Row],[White Female Occ Dist]]*FemalePayGapsByOccupationalSeriesAndRacialEthnicGroup[[#This Row],[White Female % White Male Avg Salary]],7),"")</f>
        <v>4.7409999999999998E-4</v>
      </c>
      <c r="C22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20">
        <f>IFERROR(ROUND(FemalePayGapsByOccupationalSeriesAndRacialEthnicGroup[[#This Row],[ANHPI Female Occ Dist]]*FemalePayGapsByOccupationalSeriesAndRacialEthnicGroup[[#This Row],[ANHPI Female % White Male Avg Salary]],7),"")</f>
        <v>1.3301999999999999E-3</v>
      </c>
      <c r="E220">
        <f>IFERROR(ROUND(FemalePayGapsByOccupationalSeriesAndRacialEthnicGroup[[#This Row],[Black Female Occ Dist]]*FemalePayGapsByOccupationalSeriesAndRacialEthnicGroup[[#This Row],[Black Female % White Male Avg Salary]],7),"")</f>
        <v>4.7919999999999999E-4</v>
      </c>
      <c r="F22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2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21" spans="1:7" ht="15.6" x14ac:dyDescent="0.3">
      <c r="A221" s="4" t="s">
        <v>230</v>
      </c>
      <c r="B221" s="4">
        <f>IFERROR(ROUND(FemalePayGapsByOccupationalSeriesAndRacialEthnicGroup[[#This Row],[White Female Occ Dist]]*FemalePayGapsByOccupationalSeriesAndRacialEthnicGroup[[#This Row],[White Female % White Male Avg Salary]],7),"")</f>
        <v>3.3882999999999999E-3</v>
      </c>
      <c r="C22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21">
        <f>IFERROR(ROUND(FemalePayGapsByOccupationalSeriesAndRacialEthnicGroup[[#This Row],[ANHPI Female Occ Dist]]*FemalePayGapsByOccupationalSeriesAndRacialEthnicGroup[[#This Row],[ANHPI Female % White Male Avg Salary]],7),"")</f>
        <v>1.1337000000000001E-3</v>
      </c>
      <c r="E221">
        <f>IFERROR(ROUND(FemalePayGapsByOccupationalSeriesAndRacialEthnicGroup[[#This Row],[Black Female Occ Dist]]*FemalePayGapsByOccupationalSeriesAndRacialEthnicGroup[[#This Row],[Black Female % White Male Avg Salary]],7),"")</f>
        <v>1.5694000000000001E-3</v>
      </c>
      <c r="F221">
        <f>IFERROR(ROUND(FemalePayGapsByOccupationalSeriesAndRacialEthnicGroup[[#This Row],[Hispanic - Latino Female Occ Dist]]*FemalePayGapsByOccupationalSeriesAndRacialEthnicGroup[[#This Row],[Hispanic Latino % White Female Avg Salary]],7),"")</f>
        <v>2.1408E-3</v>
      </c>
      <c r="G22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22" spans="1:7" ht="15.6" x14ac:dyDescent="0.3">
      <c r="A222" s="4" t="s">
        <v>231</v>
      </c>
      <c r="B222" s="4">
        <f>IFERROR(ROUND(FemalePayGapsByOccupationalSeriesAndRacialEthnicGroup[[#This Row],[White Female Occ Dist]]*FemalePayGapsByOccupationalSeriesAndRacialEthnicGroup[[#This Row],[White Female % White Male Avg Salary]],7),"")</f>
        <v>1.3963999999999999E-3</v>
      </c>
      <c r="C22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22">
        <f>IFERROR(ROUND(FemalePayGapsByOccupationalSeriesAndRacialEthnicGroup[[#This Row],[ANHPI Female Occ Dist]]*FemalePayGapsByOccupationalSeriesAndRacialEthnicGroup[[#This Row],[ANHPI Female % White Male Avg Salary]],7),"")</f>
        <v>1.1418000000000001E-3</v>
      </c>
      <c r="E222">
        <f>IFERROR(ROUND(FemalePayGapsByOccupationalSeriesAndRacialEthnicGroup[[#This Row],[Black Female Occ Dist]]*FemalePayGapsByOccupationalSeriesAndRacialEthnicGroup[[#This Row],[Black Female % White Male Avg Salary]],7),"")</f>
        <v>2.5238999999999999E-3</v>
      </c>
      <c r="F222">
        <f>IFERROR(ROUND(FemalePayGapsByOccupationalSeriesAndRacialEthnicGroup[[#This Row],[Hispanic - Latino Female Occ Dist]]*FemalePayGapsByOccupationalSeriesAndRacialEthnicGroup[[#This Row],[Hispanic Latino % White Female Avg Salary]],7),"")</f>
        <v>2.8966999999999999E-3</v>
      </c>
      <c r="G22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23" spans="1:7" ht="15.6" x14ac:dyDescent="0.3">
      <c r="A223" s="4" t="s">
        <v>232</v>
      </c>
      <c r="B223" s="4">
        <f>IFERROR(ROUND(FemalePayGapsByOccupationalSeriesAndRacialEthnicGroup[[#This Row],[White Female Occ Dist]]*FemalePayGapsByOccupationalSeriesAndRacialEthnicGroup[[#This Row],[White Female % White Male Avg Salary]],7),"")</f>
        <v>2.2399E-3</v>
      </c>
      <c r="C223">
        <f>IFERROR(ROUND(FemalePayGapsByOccupationalSeriesAndRacialEthnicGroup[[#This Row],[AIAN Female Occ Dist]]*FemalePayGapsByOccupationalSeriesAndRacialEthnicGroup[[#This Row],[AIAN Female % White Male Avg Salary]],7),"")</f>
        <v>1.12879E-2</v>
      </c>
      <c r="D223">
        <f>IFERROR(ROUND(FemalePayGapsByOccupationalSeriesAndRacialEthnicGroup[[#This Row],[ANHPI Female Occ Dist]]*FemalePayGapsByOccupationalSeriesAndRacialEthnicGroup[[#This Row],[ANHPI Female % White Male Avg Salary]],7),"")</f>
        <v>1.253E-3</v>
      </c>
      <c r="E223">
        <f>IFERROR(ROUND(FemalePayGapsByOccupationalSeriesAndRacialEthnicGroup[[#This Row],[Black Female Occ Dist]]*FemalePayGapsByOccupationalSeriesAndRacialEthnicGroup[[#This Row],[Black Female % White Male Avg Salary]],7),"")</f>
        <v>1.3868999999999999E-3</v>
      </c>
      <c r="F223">
        <f>IFERROR(ROUND(FemalePayGapsByOccupationalSeriesAndRacialEthnicGroup[[#This Row],[Hispanic - Latino Female Occ Dist]]*FemalePayGapsByOccupationalSeriesAndRacialEthnicGroup[[#This Row],[Hispanic Latino % White Female Avg Salary]],7),"")</f>
        <v>1.8722999999999999E-3</v>
      </c>
      <c r="G223">
        <f>IFERROR(ROUND(FemalePayGapsByOccupationalSeriesAndRacialEthnicGroup[[#This Row],[Other Female Occ Dist]]*FemalePayGapsByOccupationalSeriesAndRacialEthnicGroup[[#This Row],[Other Female % White Male Salary]],7),"")</f>
        <v>3.1867000000000002E-3</v>
      </c>
    </row>
    <row r="224" spans="1:7" ht="15.6" x14ac:dyDescent="0.3">
      <c r="A224" s="4" t="s">
        <v>233</v>
      </c>
      <c r="B224" s="4">
        <f>IFERROR(ROUND(FemalePayGapsByOccupationalSeriesAndRacialEthnicGroup[[#This Row],[White Female Occ Dist]]*FemalePayGapsByOccupationalSeriesAndRacialEthnicGroup[[#This Row],[White Female % White Male Avg Salary]],7),"")</f>
        <v>2.5319999999999997E-4</v>
      </c>
      <c r="C22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2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2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2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2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25" spans="1:7" ht="15.6" x14ac:dyDescent="0.3">
      <c r="A225" s="4" t="s">
        <v>234</v>
      </c>
      <c r="B225" s="4">
        <f>IFERROR(ROUND(FemalePayGapsByOccupationalSeriesAndRacialEthnicGroup[[#This Row],[White Female Occ Dist]]*FemalePayGapsByOccupationalSeriesAndRacialEthnicGroup[[#This Row],[White Female % White Male Avg Salary]],7),"")</f>
        <v>9.0649999999999997E-4</v>
      </c>
      <c r="C22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25">
        <f>IFERROR(ROUND(FemalePayGapsByOccupationalSeriesAndRacialEthnicGroup[[#This Row],[ANHPI Female Occ Dist]]*FemalePayGapsByOccupationalSeriesAndRacialEthnicGroup[[#This Row],[ANHPI Female % White Male Avg Salary]],7),"")</f>
        <v>1.2195999999999999E-3</v>
      </c>
      <c r="E225">
        <f>IFERROR(ROUND(FemalePayGapsByOccupationalSeriesAndRacialEthnicGroup[[#This Row],[Black Female Occ Dist]]*FemalePayGapsByOccupationalSeriesAndRacialEthnicGroup[[#This Row],[Black Female % White Male Avg Salary]],7),"")</f>
        <v>9.6139999999999995E-4</v>
      </c>
      <c r="F225">
        <f>IFERROR(ROUND(FemalePayGapsByOccupationalSeriesAndRacialEthnicGroup[[#This Row],[Hispanic - Latino Female Occ Dist]]*FemalePayGapsByOccupationalSeriesAndRacialEthnicGroup[[#This Row],[Hispanic Latino % White Female Avg Salary]],7),"")</f>
        <v>1.1312E-3</v>
      </c>
      <c r="G22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26" spans="1:7" ht="15.6" x14ac:dyDescent="0.3">
      <c r="A226" s="4" t="s">
        <v>235</v>
      </c>
      <c r="B226" s="4">
        <f>IFERROR(ROUND(FemalePayGapsByOccupationalSeriesAndRacialEthnicGroup[[#This Row],[White Female Occ Dist]]*FemalePayGapsByOccupationalSeriesAndRacialEthnicGroup[[#This Row],[White Female % White Male Avg Salary]],7),"")</f>
        <v>3.1480000000000001E-4</v>
      </c>
      <c r="C22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2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26">
        <f>IFERROR(ROUND(FemalePayGapsByOccupationalSeriesAndRacialEthnicGroup[[#This Row],[Black Female Occ Dist]]*FemalePayGapsByOccupationalSeriesAndRacialEthnicGroup[[#This Row],[Black Female % White Male Avg Salary]],7),"")</f>
        <v>6.7549999999999999E-4</v>
      </c>
      <c r="F226">
        <f>IFERROR(ROUND(FemalePayGapsByOccupationalSeriesAndRacialEthnicGroup[[#This Row],[Hispanic - Latino Female Occ Dist]]*FemalePayGapsByOccupationalSeriesAndRacialEthnicGroup[[#This Row],[Hispanic Latino % White Female Avg Salary]],7),"")</f>
        <v>4.2119999999999999E-4</v>
      </c>
      <c r="G22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27" spans="1:7" ht="15.6" x14ac:dyDescent="0.3">
      <c r="A227" s="4" t="s">
        <v>236</v>
      </c>
      <c r="B227" s="4">
        <f>IFERROR(ROUND(FemalePayGapsByOccupationalSeriesAndRacialEthnicGroup[[#This Row],[White Female Occ Dist]]*FemalePayGapsByOccupationalSeriesAndRacialEthnicGroup[[#This Row],[White Female % White Male Avg Salary]],7),"")</f>
        <v>1.8000000000000001E-4</v>
      </c>
      <c r="C22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2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27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2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2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28" spans="1:7" ht="15.6" x14ac:dyDescent="0.3">
      <c r="A228" s="4" t="s">
        <v>237</v>
      </c>
      <c r="B228" s="4">
        <f>IFERROR(ROUND(FemalePayGapsByOccupationalSeriesAndRacialEthnicGroup[[#This Row],[White Female Occ Dist]]*FemalePayGapsByOccupationalSeriesAndRacialEthnicGroup[[#This Row],[White Female % White Male Avg Salary]],7),"")</f>
        <v>2.2279999999999999E-4</v>
      </c>
      <c r="C22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2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28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2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2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29" spans="1:7" ht="15.6" x14ac:dyDescent="0.3">
      <c r="A229" s="4" t="s">
        <v>238</v>
      </c>
      <c r="B229" s="4">
        <f>IFERROR(ROUND(FemalePayGapsByOccupationalSeriesAndRacialEthnicGroup[[#This Row],[White Female Occ Dist]]*FemalePayGapsByOccupationalSeriesAndRacialEthnicGroup[[#This Row],[White Female % White Male Avg Salary]],7),"")</f>
        <v>1.9283E-3</v>
      </c>
      <c r="C22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29">
        <f>IFERROR(ROUND(FemalePayGapsByOccupationalSeriesAndRacialEthnicGroup[[#This Row],[ANHPI Female Occ Dist]]*FemalePayGapsByOccupationalSeriesAndRacialEthnicGroup[[#This Row],[ANHPI Female % White Male Avg Salary]],7),"")</f>
        <v>1.13358E-2</v>
      </c>
      <c r="E229">
        <f>IFERROR(ROUND(FemalePayGapsByOccupationalSeriesAndRacialEthnicGroup[[#This Row],[Black Female Occ Dist]]*FemalePayGapsByOccupationalSeriesAndRacialEthnicGroup[[#This Row],[Black Female % White Male Avg Salary]],7),"")</f>
        <v>1.8469999999999999E-3</v>
      </c>
      <c r="F229">
        <f>IFERROR(ROUND(FemalePayGapsByOccupationalSeriesAndRacialEthnicGroup[[#This Row],[Hispanic - Latino Female Occ Dist]]*FemalePayGapsByOccupationalSeriesAndRacialEthnicGroup[[#This Row],[Hispanic Latino % White Female Avg Salary]],7),"")</f>
        <v>1.3301000000000001E-3</v>
      </c>
      <c r="G229">
        <f>IFERROR(ROUND(FemalePayGapsByOccupationalSeriesAndRacialEthnicGroup[[#This Row],[Other Female Occ Dist]]*FemalePayGapsByOccupationalSeriesAndRacialEthnicGroup[[#This Row],[Other Female % White Male Salary]],7),"")</f>
        <v>2.3497000000000001E-3</v>
      </c>
    </row>
    <row r="230" spans="1:7" ht="15.6" x14ac:dyDescent="0.3">
      <c r="A230" s="4" t="s">
        <v>239</v>
      </c>
      <c r="B230" s="4">
        <f>IFERROR(ROUND(FemalePayGapsByOccupationalSeriesAndRacialEthnicGroup[[#This Row],[White Female Occ Dist]]*FemalePayGapsByOccupationalSeriesAndRacialEthnicGroup[[#This Row],[White Female % White Male Avg Salary]],7),"")</f>
        <v>2.5329999999999998E-4</v>
      </c>
      <c r="C23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3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30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3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3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31" spans="1:7" ht="15.6" x14ac:dyDescent="0.3">
      <c r="A231" s="4" t="s">
        <v>240</v>
      </c>
      <c r="B231" s="4">
        <f>IFERROR(ROUND(FemalePayGapsByOccupationalSeriesAndRacialEthnicGroup[[#This Row],[White Female Occ Dist]]*FemalePayGapsByOccupationalSeriesAndRacialEthnicGroup[[#This Row],[White Female % White Male Avg Salary]],7),"")</f>
        <v>5.1685000000000004E-3</v>
      </c>
      <c r="C23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31">
        <f>IFERROR(ROUND(FemalePayGapsByOccupationalSeriesAndRacialEthnicGroup[[#This Row],[ANHPI Female Occ Dist]]*FemalePayGapsByOccupationalSeriesAndRacialEthnicGroup[[#This Row],[ANHPI Female % White Male Avg Salary]],7),"")</f>
        <v>3.8313000000000002E-3</v>
      </c>
      <c r="E231">
        <f>IFERROR(ROUND(FemalePayGapsByOccupationalSeriesAndRacialEthnicGroup[[#This Row],[Black Female Occ Dist]]*FemalePayGapsByOccupationalSeriesAndRacialEthnicGroup[[#This Row],[Black Female % White Male Avg Salary]],7),"")</f>
        <v>9.2449999999999997E-4</v>
      </c>
      <c r="F231">
        <f>IFERROR(ROUND(FemalePayGapsByOccupationalSeriesAndRacialEthnicGroup[[#This Row],[Hispanic - Latino Female Occ Dist]]*FemalePayGapsByOccupationalSeriesAndRacialEthnicGroup[[#This Row],[Hispanic Latino % White Female Avg Salary]],7),"")</f>
        <v>2.4158000000000001E-3</v>
      </c>
      <c r="G231">
        <f>IFERROR(ROUND(FemalePayGapsByOccupationalSeriesAndRacialEthnicGroup[[#This Row],[Other Female Occ Dist]]*FemalePayGapsByOccupationalSeriesAndRacialEthnicGroup[[#This Row],[Other Female % White Male Salary]],7),"")</f>
        <v>3.4215000000000001E-3</v>
      </c>
    </row>
    <row r="232" spans="1:7" ht="15.6" x14ac:dyDescent="0.3">
      <c r="A232" s="4" t="s">
        <v>241</v>
      </c>
      <c r="B232" s="4">
        <f>IFERROR(ROUND(FemalePayGapsByOccupationalSeriesAndRacialEthnicGroup[[#This Row],[White Female Occ Dist]]*FemalePayGapsByOccupationalSeriesAndRacialEthnicGroup[[#This Row],[White Female % White Male Avg Salary]],7),"")</f>
        <v>3.1789999999999998E-4</v>
      </c>
      <c r="C23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3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32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3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3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33" spans="1:7" ht="15.6" x14ac:dyDescent="0.3">
      <c r="A233" s="4" t="s">
        <v>242</v>
      </c>
      <c r="B233" s="4">
        <f>IFERROR(ROUND(FemalePayGapsByOccupationalSeriesAndRacialEthnicGroup[[#This Row],[White Female Occ Dist]]*FemalePayGapsByOccupationalSeriesAndRacialEthnicGroup[[#This Row],[White Female % White Male Avg Salary]],7),"")</f>
        <v>5.0509999999999997E-4</v>
      </c>
      <c r="C23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33">
        <f>IFERROR(ROUND(FemalePayGapsByOccupationalSeriesAndRacialEthnicGroup[[#This Row],[ANHPI Female Occ Dist]]*FemalePayGapsByOccupationalSeriesAndRacialEthnicGroup[[#This Row],[ANHPI Female % White Male Avg Salary]],7),"")</f>
        <v>4.0529999999999999E-4</v>
      </c>
      <c r="E23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3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3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34" spans="1:7" ht="15.6" x14ac:dyDescent="0.3">
      <c r="A234" s="4" t="s">
        <v>243</v>
      </c>
      <c r="B234" s="4">
        <f>IFERROR(ROUND(FemalePayGapsByOccupationalSeriesAndRacialEthnicGroup[[#This Row],[White Female Occ Dist]]*FemalePayGapsByOccupationalSeriesAndRacialEthnicGroup[[#This Row],[White Female % White Male Avg Salary]],7),"")</f>
        <v>6.4199999999999999E-4</v>
      </c>
      <c r="C23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34">
        <f>IFERROR(ROUND(FemalePayGapsByOccupationalSeriesAndRacialEthnicGroup[[#This Row],[ANHPI Female Occ Dist]]*FemalePayGapsByOccupationalSeriesAndRacialEthnicGroup[[#This Row],[ANHPI Female % White Male Avg Salary]],7),"")</f>
        <v>6.5959999999999999E-4</v>
      </c>
      <c r="E234">
        <f>IFERROR(ROUND(FemalePayGapsByOccupationalSeriesAndRacialEthnicGroup[[#This Row],[Black Female Occ Dist]]*FemalePayGapsByOccupationalSeriesAndRacialEthnicGroup[[#This Row],[Black Female % White Male Avg Salary]],7),"")</f>
        <v>3.0860000000000002E-4</v>
      </c>
      <c r="F23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3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35" spans="1:7" ht="15.6" x14ac:dyDescent="0.3">
      <c r="A235" s="4" t="s">
        <v>244</v>
      </c>
      <c r="B235" s="4">
        <f>IFERROR(ROUND(FemalePayGapsByOccupationalSeriesAndRacialEthnicGroup[[#This Row],[White Female Occ Dist]]*FemalePayGapsByOccupationalSeriesAndRacialEthnicGroup[[#This Row],[White Female % White Male Avg Salary]],7),"")</f>
        <v>2.1029999999999999E-4</v>
      </c>
      <c r="C23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3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3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3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3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36" spans="1:7" ht="15.6" x14ac:dyDescent="0.3">
      <c r="A236" s="4" t="s">
        <v>245</v>
      </c>
      <c r="B236" s="4">
        <f>IFERROR(ROUND(FemalePayGapsByOccupationalSeriesAndRacialEthnicGroup[[#This Row],[White Female Occ Dist]]*FemalePayGapsByOccupationalSeriesAndRacialEthnicGroup[[#This Row],[White Female % White Male Avg Salary]],7),"")</f>
        <v>9.8050000000000003E-4</v>
      </c>
      <c r="C23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3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3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3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3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37" spans="1:7" ht="15.6" x14ac:dyDescent="0.3">
      <c r="A237" s="4" t="s">
        <v>246</v>
      </c>
      <c r="B237" s="4">
        <f>IFERROR(ROUND(FemalePayGapsByOccupationalSeriesAndRacialEthnicGroup[[#This Row],[White Female Occ Dist]]*FemalePayGapsByOccupationalSeriesAndRacialEthnicGroup[[#This Row],[White Female % White Male Avg Salary]],7),"")</f>
        <v>4.2789999999999999E-4</v>
      </c>
      <c r="C23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3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37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3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3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38" spans="1:7" ht="15.6" x14ac:dyDescent="0.3">
      <c r="A238" s="4" t="s">
        <v>247</v>
      </c>
      <c r="B238" s="4">
        <f>IFERROR(ROUND(FemalePayGapsByOccupationalSeriesAndRacialEthnicGroup[[#This Row],[White Female Occ Dist]]*FemalePayGapsByOccupationalSeriesAndRacialEthnicGroup[[#This Row],[White Female % White Male Avg Salary]],7),"")</f>
        <v>2.5655999999999999E-3</v>
      </c>
      <c r="C23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38">
        <f>IFERROR(ROUND(FemalePayGapsByOccupationalSeriesAndRacialEthnicGroup[[#This Row],[ANHPI Female Occ Dist]]*FemalePayGapsByOccupationalSeriesAndRacialEthnicGroup[[#This Row],[ANHPI Female % White Male Avg Salary]],7),"")</f>
        <v>6.1097E-3</v>
      </c>
      <c r="E238">
        <f>IFERROR(ROUND(FemalePayGapsByOccupationalSeriesAndRacialEthnicGroup[[#This Row],[Black Female Occ Dist]]*FemalePayGapsByOccupationalSeriesAndRacialEthnicGroup[[#This Row],[Black Female % White Male Avg Salary]],7),"")</f>
        <v>9.5129999999999998E-4</v>
      </c>
      <c r="F238">
        <f>IFERROR(ROUND(FemalePayGapsByOccupationalSeriesAndRacialEthnicGroup[[#This Row],[Hispanic - Latino Female Occ Dist]]*FemalePayGapsByOccupationalSeriesAndRacialEthnicGroup[[#This Row],[Hispanic Latino % White Female Avg Salary]],7),"")</f>
        <v>1.4649000000000001E-3</v>
      </c>
      <c r="G23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39" spans="1:7" ht="15.6" x14ac:dyDescent="0.3">
      <c r="A239" s="4" t="s">
        <v>248</v>
      </c>
      <c r="B239" s="4">
        <f>IFERROR(ROUND(FemalePayGapsByOccupationalSeriesAndRacialEthnicGroup[[#This Row],[White Female Occ Dist]]*FemalePayGapsByOccupationalSeriesAndRacialEthnicGroup[[#This Row],[White Female % White Male Avg Salary]],7),"")</f>
        <v>2.2000000000000001E-4</v>
      </c>
      <c r="C23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3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39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3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3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40" spans="1:7" ht="15.6" x14ac:dyDescent="0.3">
      <c r="A240" s="4" t="s">
        <v>249</v>
      </c>
      <c r="B240" s="4">
        <f>IFERROR(ROUND(FemalePayGapsByOccupationalSeriesAndRacialEthnicGroup[[#This Row],[White Female Occ Dist]]*FemalePayGapsByOccupationalSeriesAndRacialEthnicGroup[[#This Row],[White Female % White Male Avg Salary]],7),"")</f>
        <v>8.7949999999999996E-4</v>
      </c>
      <c r="C24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4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40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4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4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41" spans="1:7" ht="15.6" x14ac:dyDescent="0.3">
      <c r="A241" s="4" t="s">
        <v>250</v>
      </c>
      <c r="B241" s="4">
        <f>IFERROR(ROUND(FemalePayGapsByOccupationalSeriesAndRacialEthnicGroup[[#This Row],[White Female Occ Dist]]*FemalePayGapsByOccupationalSeriesAndRacialEthnicGroup[[#This Row],[White Female % White Male Avg Salary]],7),"")</f>
        <v>1.036E-4</v>
      </c>
      <c r="C24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4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41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4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4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42" spans="1:7" ht="15.6" x14ac:dyDescent="0.3">
      <c r="A242" s="4" t="s">
        <v>251</v>
      </c>
      <c r="B242" s="4">
        <f>IFERROR(ROUND(FemalePayGapsByOccupationalSeriesAndRacialEthnicGroup[[#This Row],[White Female Occ Dist]]*FemalePayGapsByOccupationalSeriesAndRacialEthnicGroup[[#This Row],[White Female % White Male Avg Salary]],7),"")</f>
        <v>8.4170000000000002E-4</v>
      </c>
      <c r="C24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4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42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4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4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43" spans="1:7" ht="15.6" x14ac:dyDescent="0.3">
      <c r="A243" s="4" t="s">
        <v>252</v>
      </c>
      <c r="B243" s="4">
        <f>IFERROR(ROUND(FemalePayGapsByOccupationalSeriesAndRacialEthnicGroup[[#This Row],[White Female Occ Dist]]*FemalePayGapsByOccupationalSeriesAndRacialEthnicGroup[[#This Row],[White Female % White Male Avg Salary]],7),"")</f>
        <v>3.0469999999999998E-4</v>
      </c>
      <c r="C24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4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4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4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4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44" spans="1:7" ht="15.6" x14ac:dyDescent="0.3">
      <c r="A244" s="4" t="s">
        <v>253</v>
      </c>
      <c r="B244" s="4">
        <f>IFERROR(ROUND(FemalePayGapsByOccupationalSeriesAndRacialEthnicGroup[[#This Row],[White Female Occ Dist]]*FemalePayGapsByOccupationalSeriesAndRacialEthnicGroup[[#This Row],[White Female % White Male Avg Salary]],7),"")</f>
        <v>1.875E-4</v>
      </c>
      <c r="C24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4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4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4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4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45" spans="1:7" ht="15.6" x14ac:dyDescent="0.3">
      <c r="A245" s="4" t="s">
        <v>254</v>
      </c>
      <c r="B245" s="4">
        <f>IFERROR(ROUND(FemalePayGapsByOccupationalSeriesAndRacialEthnicGroup[[#This Row],[White Female Occ Dist]]*FemalePayGapsByOccupationalSeriesAndRacialEthnicGroup[[#This Row],[White Female % White Male Avg Salary]],7),"")</f>
        <v>3.2630000000000002E-4</v>
      </c>
      <c r="C24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4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4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4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4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46" spans="1:7" ht="15.6" x14ac:dyDescent="0.3">
      <c r="A246" s="4" t="s">
        <v>255</v>
      </c>
      <c r="B246" s="4">
        <f>IFERROR(ROUND(FemalePayGapsByOccupationalSeriesAndRacialEthnicGroup[[#This Row],[White Female Occ Dist]]*FemalePayGapsByOccupationalSeriesAndRacialEthnicGroup[[#This Row],[White Female % White Male Avg Salary]],7),"")</f>
        <v>1.2760000000000001E-4</v>
      </c>
      <c r="C24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4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4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4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4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47" spans="1:7" ht="15.6" x14ac:dyDescent="0.3">
      <c r="A247" s="4" t="s">
        <v>256</v>
      </c>
      <c r="B247" s="4">
        <f>IFERROR(ROUND(FemalePayGapsByOccupationalSeriesAndRacialEthnicGroup[[#This Row],[White Female Occ Dist]]*FemalePayGapsByOccupationalSeriesAndRacialEthnicGroup[[#This Row],[White Female % White Male Avg Salary]],7),"")</f>
        <v>6.5900000000000003E-5</v>
      </c>
      <c r="C24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4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47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4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4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48" spans="1:7" ht="15.6" x14ac:dyDescent="0.3">
      <c r="A248" s="4" t="s">
        <v>257</v>
      </c>
      <c r="B248" s="4">
        <f>IFERROR(ROUND(FemalePayGapsByOccupationalSeriesAndRacialEthnicGroup[[#This Row],[White Female Occ Dist]]*FemalePayGapsByOccupationalSeriesAndRacialEthnicGroup[[#This Row],[White Female % White Male Avg Salary]],7),"")</f>
        <v>1.0415999999999999E-3</v>
      </c>
      <c r="C24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4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48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4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4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49" spans="1:7" ht="15.6" x14ac:dyDescent="0.3">
      <c r="A249" s="4" t="s">
        <v>258</v>
      </c>
      <c r="B249" s="4">
        <f>IFERROR(ROUND(FemalePayGapsByOccupationalSeriesAndRacialEthnicGroup[[#This Row],[White Female Occ Dist]]*FemalePayGapsByOccupationalSeriesAndRacialEthnicGroup[[#This Row],[White Female % White Male Avg Salary]],7),"")</f>
        <v>3.1359999999999998E-4</v>
      </c>
      <c r="C24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4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49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4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4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50" spans="1:7" ht="15.6" x14ac:dyDescent="0.3">
      <c r="A250" s="4" t="s">
        <v>259</v>
      </c>
      <c r="B250" s="4">
        <f>IFERROR(ROUND(FemalePayGapsByOccupationalSeriesAndRacialEthnicGroup[[#This Row],[White Female Occ Dist]]*FemalePayGapsByOccupationalSeriesAndRacialEthnicGroup[[#This Row],[White Female % White Male Avg Salary]],7),"")</f>
        <v>6.0409999999999999E-4</v>
      </c>
      <c r="C25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5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50">
        <f>IFERROR(ROUND(FemalePayGapsByOccupationalSeriesAndRacialEthnicGroup[[#This Row],[Black Female Occ Dist]]*FemalePayGapsByOccupationalSeriesAndRacialEthnicGroup[[#This Row],[Black Female % White Male Avg Salary]],7),"")</f>
        <v>3.4670000000000002E-4</v>
      </c>
      <c r="F25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5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51" spans="1:7" ht="15.6" x14ac:dyDescent="0.3">
      <c r="A251" s="4" t="s">
        <v>260</v>
      </c>
      <c r="B251" s="4">
        <f>IFERROR(ROUND(FemalePayGapsByOccupationalSeriesAndRacialEthnicGroup[[#This Row],[White Female Occ Dist]]*FemalePayGapsByOccupationalSeriesAndRacialEthnicGroup[[#This Row],[White Female % White Male Avg Salary]],7),"")</f>
        <v>4.6480000000000002E-4</v>
      </c>
      <c r="C25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5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51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5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5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52" spans="1:7" ht="15.6" x14ac:dyDescent="0.3">
      <c r="A252" s="4" t="s">
        <v>261</v>
      </c>
      <c r="B252" s="4">
        <f>IFERROR(ROUND(FemalePayGapsByOccupationalSeriesAndRacialEthnicGroup[[#This Row],[White Female Occ Dist]]*FemalePayGapsByOccupationalSeriesAndRacialEthnicGroup[[#This Row],[White Female % White Male Avg Salary]],7),"")</f>
        <v>7.3890000000000002E-4</v>
      </c>
      <c r="C25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5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52">
        <f>IFERROR(ROUND(FemalePayGapsByOccupationalSeriesAndRacialEthnicGroup[[#This Row],[Black Female Occ Dist]]*FemalePayGapsByOccupationalSeriesAndRacialEthnicGroup[[#This Row],[Black Female % White Male Avg Salary]],7),"")</f>
        <v>1.1045E-3</v>
      </c>
      <c r="F25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5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53" spans="1:7" ht="15.6" x14ac:dyDescent="0.3">
      <c r="A253" s="4" t="s">
        <v>327</v>
      </c>
      <c r="B253" s="4">
        <f>IFERROR(ROUND(FemalePayGapsByOccupationalSeriesAndRacialEthnicGroup[[#This Row],[White Female Occ Dist]]*FemalePayGapsByOccupationalSeriesAndRacialEthnicGroup[[#This Row],[White Female % White Male Avg Salary]],7),"")</f>
        <v>6.4900000000000005E-5</v>
      </c>
      <c r="C25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5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5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5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5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54" spans="1:7" ht="15.6" x14ac:dyDescent="0.3">
      <c r="A254" s="4" t="s">
        <v>262</v>
      </c>
      <c r="B254" s="4">
        <f>IFERROR(ROUND(FemalePayGapsByOccupationalSeriesAndRacialEthnicGroup[[#This Row],[White Female Occ Dist]]*FemalePayGapsByOccupationalSeriesAndRacialEthnicGroup[[#This Row],[White Female % White Male Avg Salary]],7),"")</f>
        <v>1.3300000000000001E-4</v>
      </c>
      <c r="C25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5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5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5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5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55" spans="1:7" ht="15.6" x14ac:dyDescent="0.3">
      <c r="A255" s="4" t="s">
        <v>263</v>
      </c>
      <c r="B255" s="4">
        <f>IFERROR(ROUND(FemalePayGapsByOccupationalSeriesAndRacialEthnicGroup[[#This Row],[White Female Occ Dist]]*FemalePayGapsByOccupationalSeriesAndRacialEthnicGroup[[#This Row],[White Female % White Male Avg Salary]],7),"")</f>
        <v>2.6516000000000001E-3</v>
      </c>
      <c r="C25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55">
        <f>IFERROR(ROUND(FemalePayGapsByOccupationalSeriesAndRacialEthnicGroup[[#This Row],[ANHPI Female Occ Dist]]*FemalePayGapsByOccupationalSeriesAndRacialEthnicGroup[[#This Row],[ANHPI Female % White Male Avg Salary]],7),"")</f>
        <v>2.2904000000000002E-3</v>
      </c>
      <c r="E255">
        <f>IFERROR(ROUND(FemalePayGapsByOccupationalSeriesAndRacialEthnicGroup[[#This Row],[Black Female Occ Dist]]*FemalePayGapsByOccupationalSeriesAndRacialEthnicGroup[[#This Row],[Black Female % White Male Avg Salary]],7),"")</f>
        <v>8.5139999999999999E-4</v>
      </c>
      <c r="F255">
        <f>IFERROR(ROUND(FemalePayGapsByOccupationalSeriesAndRacialEthnicGroup[[#This Row],[Hispanic - Latino Female Occ Dist]]*FemalePayGapsByOccupationalSeriesAndRacialEthnicGroup[[#This Row],[Hispanic Latino % White Female Avg Salary]],7),"")</f>
        <v>1.0329E-3</v>
      </c>
      <c r="G255">
        <f>IFERROR(ROUND(FemalePayGapsByOccupationalSeriesAndRacialEthnicGroup[[#This Row],[Other Female Occ Dist]]*FemalePayGapsByOccupationalSeriesAndRacialEthnicGroup[[#This Row],[Other Female % White Male Salary]],7),"")</f>
        <v>2.7461999999999999E-3</v>
      </c>
    </row>
    <row r="256" spans="1:7" ht="15.6" x14ac:dyDescent="0.3">
      <c r="A256" s="4" t="s">
        <v>264</v>
      </c>
      <c r="B256" s="4">
        <f>IFERROR(ROUND(FemalePayGapsByOccupationalSeriesAndRacialEthnicGroup[[#This Row],[White Female Occ Dist]]*FemalePayGapsByOccupationalSeriesAndRacialEthnicGroup[[#This Row],[White Female % White Male Avg Salary]],7),"")</f>
        <v>7.249E-4</v>
      </c>
      <c r="C25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5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5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5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5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57" spans="1:7" ht="15.6" x14ac:dyDescent="0.3">
      <c r="A257" s="4" t="s">
        <v>265</v>
      </c>
      <c r="B257" s="4">
        <f>IFERROR(ROUND(FemalePayGapsByOccupationalSeriesAndRacialEthnicGroup[[#This Row],[White Female Occ Dist]]*FemalePayGapsByOccupationalSeriesAndRacialEthnicGroup[[#This Row],[White Female % White Male Avg Salary]],7),"")</f>
        <v>6.6379999999999998E-4</v>
      </c>
      <c r="C25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57">
        <f>IFERROR(ROUND(FemalePayGapsByOccupationalSeriesAndRacialEthnicGroup[[#This Row],[ANHPI Female Occ Dist]]*FemalePayGapsByOccupationalSeriesAndRacialEthnicGroup[[#This Row],[ANHPI Female % White Male Avg Salary]],7),"")</f>
        <v>3.4678999999999999E-3</v>
      </c>
      <c r="E257">
        <f>IFERROR(ROUND(FemalePayGapsByOccupationalSeriesAndRacialEthnicGroup[[#This Row],[Black Female Occ Dist]]*FemalePayGapsByOccupationalSeriesAndRacialEthnicGroup[[#This Row],[Black Female % White Male Avg Salary]],7),"")</f>
        <v>2.0890000000000001E-4</v>
      </c>
      <c r="F257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5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58" spans="1:7" ht="15.6" x14ac:dyDescent="0.3">
      <c r="A258" s="4" t="s">
        <v>266</v>
      </c>
      <c r="B258" s="4">
        <f>IFERROR(ROUND(FemalePayGapsByOccupationalSeriesAndRacialEthnicGroup[[#This Row],[White Female Occ Dist]]*FemalePayGapsByOccupationalSeriesAndRacialEthnicGroup[[#This Row],[White Female % White Male Avg Salary]],7),"")</f>
        <v>2.0663999999999999E-3</v>
      </c>
      <c r="C25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58">
        <f>IFERROR(ROUND(FemalePayGapsByOccupationalSeriesAndRacialEthnicGroup[[#This Row],[ANHPI Female Occ Dist]]*FemalePayGapsByOccupationalSeriesAndRacialEthnicGroup[[#This Row],[ANHPI Female % White Male Avg Salary]],7),"")</f>
        <v>3.2317000000000001E-3</v>
      </c>
      <c r="E258">
        <f>IFERROR(ROUND(FemalePayGapsByOccupationalSeriesAndRacialEthnicGroup[[#This Row],[Black Female Occ Dist]]*FemalePayGapsByOccupationalSeriesAndRacialEthnicGroup[[#This Row],[Black Female % White Male Avg Salary]],7),"")</f>
        <v>1.3813E-3</v>
      </c>
      <c r="F258">
        <f>IFERROR(ROUND(FemalePayGapsByOccupationalSeriesAndRacialEthnicGroup[[#This Row],[Hispanic - Latino Female Occ Dist]]*FemalePayGapsByOccupationalSeriesAndRacialEthnicGroup[[#This Row],[Hispanic Latino % White Female Avg Salary]],7),"")</f>
        <v>1.4777E-3</v>
      </c>
      <c r="G25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59" spans="1:7" ht="15.6" x14ac:dyDescent="0.3">
      <c r="A259" s="4" t="s">
        <v>267</v>
      </c>
      <c r="B259" s="4">
        <f>IFERROR(ROUND(FemalePayGapsByOccupationalSeriesAndRacialEthnicGroup[[#This Row],[White Female Occ Dist]]*FemalePayGapsByOccupationalSeriesAndRacialEthnicGroup[[#This Row],[White Female % White Male Avg Salary]],7),"")</f>
        <v>3.9330000000000002E-4</v>
      </c>
      <c r="C25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5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59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5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5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60" spans="1:7" ht="15.6" x14ac:dyDescent="0.3">
      <c r="A260" s="4" t="s">
        <v>268</v>
      </c>
      <c r="B260" s="4">
        <f>IFERROR(ROUND(FemalePayGapsByOccupationalSeriesAndRacialEthnicGroup[[#This Row],[White Female Occ Dist]]*FemalePayGapsByOccupationalSeriesAndRacialEthnicGroup[[#This Row],[White Female % White Male Avg Salary]],7),"")</f>
        <v>2.4932999999999999E-3</v>
      </c>
      <c r="C26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60">
        <f>IFERROR(ROUND(FemalePayGapsByOccupationalSeriesAndRacialEthnicGroup[[#This Row],[ANHPI Female Occ Dist]]*FemalePayGapsByOccupationalSeriesAndRacialEthnicGroup[[#This Row],[ANHPI Female % White Male Avg Salary]],7),"")</f>
        <v>8.0873999999999998E-3</v>
      </c>
      <c r="E260">
        <f>IFERROR(ROUND(FemalePayGapsByOccupationalSeriesAndRacialEthnicGroup[[#This Row],[Black Female Occ Dist]]*FemalePayGapsByOccupationalSeriesAndRacialEthnicGroup[[#This Row],[Black Female % White Male Avg Salary]],7),"")</f>
        <v>1.2279000000000001E-3</v>
      </c>
      <c r="F260">
        <f>IFERROR(ROUND(FemalePayGapsByOccupationalSeriesAndRacialEthnicGroup[[#This Row],[Hispanic - Latino Female Occ Dist]]*FemalePayGapsByOccupationalSeriesAndRacialEthnicGroup[[#This Row],[Hispanic Latino % White Female Avg Salary]],7),"")</f>
        <v>1.2983000000000001E-3</v>
      </c>
      <c r="G260">
        <f>IFERROR(ROUND(FemalePayGapsByOccupationalSeriesAndRacialEthnicGroup[[#This Row],[Other Female Occ Dist]]*FemalePayGapsByOccupationalSeriesAndRacialEthnicGroup[[#This Row],[Other Female % White Male Salary]],7),"")</f>
        <v>2.9708999999999998E-3</v>
      </c>
    </row>
    <row r="261" spans="1:7" ht="15.6" x14ac:dyDescent="0.3">
      <c r="A261" s="4" t="s">
        <v>269</v>
      </c>
      <c r="B261" s="4">
        <f>IFERROR(ROUND(FemalePayGapsByOccupationalSeriesAndRacialEthnicGroup[[#This Row],[White Female Occ Dist]]*FemalePayGapsByOccupationalSeriesAndRacialEthnicGroup[[#This Row],[White Female % White Male Avg Salary]],7),"")</f>
        <v>9.3550000000000003E-4</v>
      </c>
      <c r="C26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61">
        <f>IFERROR(ROUND(FemalePayGapsByOccupationalSeriesAndRacialEthnicGroup[[#This Row],[ANHPI Female Occ Dist]]*FemalePayGapsByOccupationalSeriesAndRacialEthnicGroup[[#This Row],[ANHPI Female % White Male Avg Salary]],7),"")</f>
        <v>6.1580000000000001E-4</v>
      </c>
      <c r="E261">
        <f>IFERROR(ROUND(FemalePayGapsByOccupationalSeriesAndRacialEthnicGroup[[#This Row],[Black Female Occ Dist]]*FemalePayGapsByOccupationalSeriesAndRacialEthnicGroup[[#This Row],[Black Female % White Male Avg Salary]],7),"")</f>
        <v>4.8420000000000001E-4</v>
      </c>
      <c r="F261">
        <f>IFERROR(ROUND(FemalePayGapsByOccupationalSeriesAndRacialEthnicGroup[[#This Row],[Hispanic - Latino Female Occ Dist]]*FemalePayGapsByOccupationalSeriesAndRacialEthnicGroup[[#This Row],[Hispanic Latino % White Female Avg Salary]],7),"")</f>
        <v>5.5110000000000001E-4</v>
      </c>
      <c r="G261">
        <f>IFERROR(ROUND(FemalePayGapsByOccupationalSeriesAndRacialEthnicGroup[[#This Row],[Other Female Occ Dist]]*FemalePayGapsByOccupationalSeriesAndRacialEthnicGroup[[#This Row],[Other Female % White Male Salary]],7),"")</f>
        <v>8.1050000000000002E-4</v>
      </c>
    </row>
    <row r="262" spans="1:7" ht="15.6" x14ac:dyDescent="0.3">
      <c r="A262" s="4" t="s">
        <v>270</v>
      </c>
      <c r="B262" s="4">
        <f>IFERROR(ROUND(FemalePayGapsByOccupationalSeriesAndRacialEthnicGroup[[#This Row],[White Female Occ Dist]]*FemalePayGapsByOccupationalSeriesAndRacialEthnicGroup[[#This Row],[White Female % White Male Avg Salary]],7),"")</f>
        <v>4.8129999999999999E-4</v>
      </c>
      <c r="C26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6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62">
        <f>IFERROR(ROUND(FemalePayGapsByOccupationalSeriesAndRacialEthnicGroup[[#This Row],[Black Female Occ Dist]]*FemalePayGapsByOccupationalSeriesAndRacialEthnicGroup[[#This Row],[Black Female % White Male Avg Salary]],7),"")</f>
        <v>3.3829999999999998E-4</v>
      </c>
      <c r="F26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6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63" spans="1:7" ht="15.6" x14ac:dyDescent="0.3">
      <c r="A263" s="4" t="s">
        <v>271</v>
      </c>
      <c r="B263" s="4">
        <f>IFERROR(ROUND(FemalePayGapsByOccupationalSeriesAndRacialEthnicGroup[[#This Row],[White Female Occ Dist]]*FemalePayGapsByOccupationalSeriesAndRacialEthnicGroup[[#This Row],[White Female % White Male Avg Salary]],7),"")</f>
        <v>8.9900000000000003E-5</v>
      </c>
      <c r="C26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6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6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6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6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64" spans="1:7" ht="15.6" x14ac:dyDescent="0.3">
      <c r="A264" s="4" t="s">
        <v>272</v>
      </c>
      <c r="B264" s="4">
        <f>IFERROR(ROUND(FemalePayGapsByOccupationalSeriesAndRacialEthnicGroup[[#This Row],[White Female Occ Dist]]*FemalePayGapsByOccupationalSeriesAndRacialEthnicGroup[[#This Row],[White Female % White Male Avg Salary]],7),"")</f>
        <v>4.8020000000000002E-4</v>
      </c>
      <c r="C26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64">
        <f>IFERROR(ROUND(FemalePayGapsByOccupationalSeriesAndRacialEthnicGroup[[#This Row],[ANHPI Female Occ Dist]]*FemalePayGapsByOccupationalSeriesAndRacialEthnicGroup[[#This Row],[ANHPI Female % White Male Avg Salary]],7),"")</f>
        <v>2.2580000000000001E-4</v>
      </c>
      <c r="E264">
        <f>IFERROR(ROUND(FemalePayGapsByOccupationalSeriesAndRacialEthnicGroup[[#This Row],[Black Female Occ Dist]]*FemalePayGapsByOccupationalSeriesAndRacialEthnicGroup[[#This Row],[Black Female % White Male Avg Salary]],7),"")</f>
        <v>2.4679999999999998E-4</v>
      </c>
      <c r="F264">
        <f>IFERROR(ROUND(FemalePayGapsByOccupationalSeriesAndRacialEthnicGroup[[#This Row],[Hispanic - Latino Female Occ Dist]]*FemalePayGapsByOccupationalSeriesAndRacialEthnicGroup[[#This Row],[Hispanic Latino % White Female Avg Salary]],7),"")</f>
        <v>3.7560000000000002E-4</v>
      </c>
      <c r="G26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65" spans="1:7" ht="15.6" x14ac:dyDescent="0.3">
      <c r="A265" s="4" t="s">
        <v>273</v>
      </c>
      <c r="B265" s="4">
        <f>IFERROR(ROUND(FemalePayGapsByOccupationalSeriesAndRacialEthnicGroup[[#This Row],[White Female Occ Dist]]*FemalePayGapsByOccupationalSeriesAndRacialEthnicGroup[[#This Row],[White Female % White Male Avg Salary]],7),"")</f>
        <v>1.143E-4</v>
      </c>
      <c r="C26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6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6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6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6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66" spans="1:7" ht="15.6" x14ac:dyDescent="0.3">
      <c r="A266" s="4" t="s">
        <v>274</v>
      </c>
      <c r="B266" s="4">
        <f>IFERROR(ROUND(FemalePayGapsByOccupationalSeriesAndRacialEthnicGroup[[#This Row],[White Female Occ Dist]]*FemalePayGapsByOccupationalSeriesAndRacialEthnicGroup[[#This Row],[White Female % White Male Avg Salary]],7),"")</f>
        <v>7.3300000000000006E-5</v>
      </c>
      <c r="C26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6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66">
        <f>IFERROR(ROUND(FemalePayGapsByOccupationalSeriesAndRacialEthnicGroup[[#This Row],[Black Female Occ Dist]]*FemalePayGapsByOccupationalSeriesAndRacialEthnicGroup[[#This Row],[Black Female % White Male Avg Salary]],7),"")</f>
        <v>1.5699999999999999E-4</v>
      </c>
      <c r="F26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6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67" spans="1:7" ht="15.6" x14ac:dyDescent="0.3">
      <c r="A267" s="4" t="s">
        <v>275</v>
      </c>
      <c r="B267" s="4">
        <f>IFERROR(ROUND(FemalePayGapsByOccupationalSeriesAndRacialEthnicGroup[[#This Row],[White Female Occ Dist]]*FemalePayGapsByOccupationalSeriesAndRacialEthnicGroup[[#This Row],[White Female % White Male Avg Salary]],7),"")</f>
        <v>5.3050000000000005E-4</v>
      </c>
      <c r="C26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67">
        <f>IFERROR(ROUND(FemalePayGapsByOccupationalSeriesAndRacialEthnicGroup[[#This Row],[ANHPI Female Occ Dist]]*FemalePayGapsByOccupationalSeriesAndRacialEthnicGroup[[#This Row],[ANHPI Female % White Male Avg Salary]],7),"")</f>
        <v>3.0600000000000001E-4</v>
      </c>
      <c r="E267">
        <f>IFERROR(ROUND(FemalePayGapsByOccupationalSeriesAndRacialEthnicGroup[[#This Row],[Black Female Occ Dist]]*FemalePayGapsByOccupationalSeriesAndRacialEthnicGroup[[#This Row],[Black Female % White Male Avg Salary]],7),"")</f>
        <v>1.962E-4</v>
      </c>
      <c r="F267">
        <f>IFERROR(ROUND(FemalePayGapsByOccupationalSeriesAndRacialEthnicGroup[[#This Row],[Hispanic - Latino Female Occ Dist]]*FemalePayGapsByOccupationalSeriesAndRacialEthnicGroup[[#This Row],[Hispanic Latino % White Female Avg Salary]],7),"")</f>
        <v>5.3070000000000005E-4</v>
      </c>
      <c r="G267">
        <f>IFERROR(ROUND(FemalePayGapsByOccupationalSeriesAndRacialEthnicGroup[[#This Row],[Other Female Occ Dist]]*FemalePayGapsByOccupationalSeriesAndRacialEthnicGroup[[#This Row],[Other Female % White Male Salary]],7),"")</f>
        <v>3.793E-4</v>
      </c>
    </row>
    <row r="268" spans="1:7" ht="15.6" x14ac:dyDescent="0.3">
      <c r="A268" s="4" t="s">
        <v>276</v>
      </c>
      <c r="B268" s="4">
        <f>IFERROR(ROUND(FemalePayGapsByOccupationalSeriesAndRacialEthnicGroup[[#This Row],[White Female Occ Dist]]*FemalePayGapsByOccupationalSeriesAndRacialEthnicGroup[[#This Row],[White Female % White Male Avg Salary]],7),"")</f>
        <v>2.0019E-3</v>
      </c>
      <c r="C26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68">
        <f>IFERROR(ROUND(FemalePayGapsByOccupationalSeriesAndRacialEthnicGroup[[#This Row],[ANHPI Female Occ Dist]]*FemalePayGapsByOccupationalSeriesAndRacialEthnicGroup[[#This Row],[ANHPI Female % White Male Avg Salary]],7),"")</f>
        <v>2.6624999999999999E-3</v>
      </c>
      <c r="E268">
        <f>IFERROR(ROUND(FemalePayGapsByOccupationalSeriesAndRacialEthnicGroup[[#This Row],[Black Female Occ Dist]]*FemalePayGapsByOccupationalSeriesAndRacialEthnicGroup[[#This Row],[Black Female % White Male Avg Salary]],7),"")</f>
        <v>1.3859E-3</v>
      </c>
      <c r="F268">
        <f>IFERROR(ROUND(FemalePayGapsByOccupationalSeriesAndRacialEthnicGroup[[#This Row],[Hispanic - Latino Female Occ Dist]]*FemalePayGapsByOccupationalSeriesAndRacialEthnicGroup[[#This Row],[Hispanic Latino % White Female Avg Salary]],7),"")</f>
        <v>1.2187000000000001E-3</v>
      </c>
      <c r="G26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69" spans="1:7" ht="15.6" x14ac:dyDescent="0.3">
      <c r="A269" s="4" t="s">
        <v>277</v>
      </c>
      <c r="B269" s="4">
        <f>IFERROR(ROUND(FemalePayGapsByOccupationalSeriesAndRacialEthnicGroup[[#This Row],[White Female Occ Dist]]*FemalePayGapsByOccupationalSeriesAndRacialEthnicGroup[[#This Row],[White Female % White Male Avg Salary]],7),"")</f>
        <v>2.2068999999999999E-3</v>
      </c>
      <c r="C26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69">
        <f>IFERROR(ROUND(FemalePayGapsByOccupationalSeriesAndRacialEthnicGroup[[#This Row],[ANHPI Female Occ Dist]]*FemalePayGapsByOccupationalSeriesAndRacialEthnicGroup[[#This Row],[ANHPI Female % White Male Avg Salary]],7),"")</f>
        <v>2.0647999999999999E-3</v>
      </c>
      <c r="E269">
        <f>IFERROR(ROUND(FemalePayGapsByOccupationalSeriesAndRacialEthnicGroup[[#This Row],[Black Female Occ Dist]]*FemalePayGapsByOccupationalSeriesAndRacialEthnicGroup[[#This Row],[Black Female % White Male Avg Salary]],7),"")</f>
        <v>2.6362E-3</v>
      </c>
      <c r="F269">
        <f>IFERROR(ROUND(FemalePayGapsByOccupationalSeriesAndRacialEthnicGroup[[#This Row],[Hispanic - Latino Female Occ Dist]]*FemalePayGapsByOccupationalSeriesAndRacialEthnicGroup[[#This Row],[Hispanic Latino % White Female Avg Salary]],7),"")</f>
        <v>2.8803000000000001E-3</v>
      </c>
      <c r="G269">
        <f>IFERROR(ROUND(FemalePayGapsByOccupationalSeriesAndRacialEthnicGroup[[#This Row],[Other Female Occ Dist]]*FemalePayGapsByOccupationalSeriesAndRacialEthnicGroup[[#This Row],[Other Female % White Male Salary]],7),"")</f>
        <v>3.2897E-3</v>
      </c>
    </row>
    <row r="270" spans="1:7" ht="15.6" x14ac:dyDescent="0.3">
      <c r="A270" s="4" t="s">
        <v>278</v>
      </c>
      <c r="B270" s="4">
        <f>IFERROR(ROUND(FemalePayGapsByOccupationalSeriesAndRacialEthnicGroup[[#This Row],[White Female Occ Dist]]*FemalePayGapsByOccupationalSeriesAndRacialEthnicGroup[[#This Row],[White Female % White Male Avg Salary]],7),"")</f>
        <v>6.0400000000000004E-4</v>
      </c>
      <c r="C27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7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70">
        <f>IFERROR(ROUND(FemalePayGapsByOccupationalSeriesAndRacialEthnicGroup[[#This Row],[Black Female Occ Dist]]*FemalePayGapsByOccupationalSeriesAndRacialEthnicGroup[[#This Row],[Black Female % White Male Avg Salary]],7),"")</f>
        <v>4.2349999999999999E-4</v>
      </c>
      <c r="F27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7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71" spans="1:7" ht="15.6" x14ac:dyDescent="0.3">
      <c r="A271" s="4" t="s">
        <v>279</v>
      </c>
      <c r="B271" s="4">
        <f>IFERROR(ROUND(FemalePayGapsByOccupationalSeriesAndRacialEthnicGroup[[#This Row],[White Female Occ Dist]]*FemalePayGapsByOccupationalSeriesAndRacialEthnicGroup[[#This Row],[White Female % White Male Avg Salary]],7),"")</f>
        <v>2.3535000000000001E-3</v>
      </c>
      <c r="C27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71">
        <f>IFERROR(ROUND(FemalePayGapsByOccupationalSeriesAndRacialEthnicGroup[[#This Row],[ANHPI Female Occ Dist]]*FemalePayGapsByOccupationalSeriesAndRacialEthnicGroup[[#This Row],[ANHPI Female % White Male Avg Salary]],7),"")</f>
        <v>8.8690000000000004E-4</v>
      </c>
      <c r="E271">
        <f>IFERROR(ROUND(FemalePayGapsByOccupationalSeriesAndRacialEthnicGroup[[#This Row],[Black Female Occ Dist]]*FemalePayGapsByOccupationalSeriesAndRacialEthnicGroup[[#This Row],[Black Female % White Male Avg Salary]],7),"")</f>
        <v>2.1253000000000001E-3</v>
      </c>
      <c r="F271">
        <f>IFERROR(ROUND(FemalePayGapsByOccupationalSeriesAndRacialEthnicGroup[[#This Row],[Hispanic - Latino Female Occ Dist]]*FemalePayGapsByOccupationalSeriesAndRacialEthnicGroup[[#This Row],[Hispanic Latino % White Female Avg Salary]],7),"")</f>
        <v>1.6611E-3</v>
      </c>
      <c r="G271">
        <f>IFERROR(ROUND(FemalePayGapsByOccupationalSeriesAndRacialEthnicGroup[[#This Row],[Other Female Occ Dist]]*FemalePayGapsByOccupationalSeriesAndRacialEthnicGroup[[#This Row],[Other Female % White Male Salary]],7),"")</f>
        <v>3.2307999999999998E-3</v>
      </c>
    </row>
    <row r="272" spans="1:7" ht="15.6" x14ac:dyDescent="0.3">
      <c r="A272" s="4" t="s">
        <v>280</v>
      </c>
      <c r="B272" s="4">
        <f>IFERROR(ROUND(FemalePayGapsByOccupationalSeriesAndRacialEthnicGroup[[#This Row],[White Female Occ Dist]]*FemalePayGapsByOccupationalSeriesAndRacialEthnicGroup[[#This Row],[White Female % White Male Avg Salary]],7),"")</f>
        <v>2.7490000000000001E-4</v>
      </c>
      <c r="C27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7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72">
        <f>IFERROR(ROUND(FemalePayGapsByOccupationalSeriesAndRacialEthnicGroup[[#This Row],[Black Female Occ Dist]]*FemalePayGapsByOccupationalSeriesAndRacialEthnicGroup[[#This Row],[Black Female % White Male Avg Salary]],7),"")</f>
        <v>5.9610000000000002E-4</v>
      </c>
      <c r="F27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7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73" spans="1:7" ht="15.6" x14ac:dyDescent="0.3">
      <c r="A273" s="4" t="s">
        <v>281</v>
      </c>
      <c r="B273" s="4">
        <f>IFERROR(ROUND(FemalePayGapsByOccupationalSeriesAndRacialEthnicGroup[[#This Row],[White Female Occ Dist]]*FemalePayGapsByOccupationalSeriesAndRacialEthnicGroup[[#This Row],[White Female % White Male Avg Salary]],7),"")</f>
        <v>3.5550000000000002E-4</v>
      </c>
      <c r="C27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7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73">
        <f>IFERROR(ROUND(FemalePayGapsByOccupationalSeriesAndRacialEthnicGroup[[#This Row],[Black Female Occ Dist]]*FemalePayGapsByOccupationalSeriesAndRacialEthnicGroup[[#This Row],[Black Female % White Male Avg Salary]],7),"")</f>
        <v>5.1489999999999999E-4</v>
      </c>
      <c r="F27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7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74" spans="1:7" ht="15.6" x14ac:dyDescent="0.3">
      <c r="A274" s="4" t="s">
        <v>282</v>
      </c>
      <c r="B274" s="4">
        <f>IFERROR(ROUND(FemalePayGapsByOccupationalSeriesAndRacialEthnicGroup[[#This Row],[White Female Occ Dist]]*FemalePayGapsByOccupationalSeriesAndRacialEthnicGroup[[#This Row],[White Female % White Male Avg Salary]],7),"")</f>
        <v>5.1599999999999997E-4</v>
      </c>
      <c r="C27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7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74">
        <f>IFERROR(ROUND(FemalePayGapsByOccupationalSeriesAndRacialEthnicGroup[[#This Row],[Black Female Occ Dist]]*FemalePayGapsByOccupationalSeriesAndRacialEthnicGroup[[#This Row],[Black Female % White Male Avg Salary]],7),"")</f>
        <v>4.9950000000000005E-4</v>
      </c>
      <c r="F27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7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75" spans="1:7" ht="15.6" x14ac:dyDescent="0.3">
      <c r="A275" s="4" t="s">
        <v>283</v>
      </c>
      <c r="B275" s="4">
        <f>IFERROR(ROUND(FemalePayGapsByOccupationalSeriesAndRacialEthnicGroup[[#This Row],[White Female Occ Dist]]*FemalePayGapsByOccupationalSeriesAndRacialEthnicGroup[[#This Row],[White Female % White Male Avg Salary]],7),"")</f>
        <v>1.1720999999999999E-3</v>
      </c>
      <c r="C27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7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75">
        <f>IFERROR(ROUND(FemalePayGapsByOccupationalSeriesAndRacialEthnicGroup[[#This Row],[Black Female Occ Dist]]*FemalePayGapsByOccupationalSeriesAndRacialEthnicGroup[[#This Row],[Black Female % White Male Avg Salary]],7),"")</f>
        <v>9.9240000000000005E-4</v>
      </c>
      <c r="F275">
        <f>IFERROR(ROUND(FemalePayGapsByOccupationalSeriesAndRacialEthnicGroup[[#This Row],[Hispanic - Latino Female Occ Dist]]*FemalePayGapsByOccupationalSeriesAndRacialEthnicGroup[[#This Row],[Hispanic Latino % White Female Avg Salary]],7),"")</f>
        <v>6.6620000000000004E-4</v>
      </c>
      <c r="G27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76" spans="1:7" ht="15.6" x14ac:dyDescent="0.3">
      <c r="A276" s="4" t="s">
        <v>284</v>
      </c>
      <c r="B276" s="4">
        <f>IFERROR(ROUND(FemalePayGapsByOccupationalSeriesAndRacialEthnicGroup[[#This Row],[White Female Occ Dist]]*FemalePayGapsByOccupationalSeriesAndRacialEthnicGroup[[#This Row],[White Female % White Male Avg Salary]],7),"")</f>
        <v>1.4115900000000001E-2</v>
      </c>
      <c r="C276">
        <f>IFERROR(ROUND(FemalePayGapsByOccupationalSeriesAndRacialEthnicGroup[[#This Row],[AIAN Female Occ Dist]]*FemalePayGapsByOccupationalSeriesAndRacialEthnicGroup[[#This Row],[AIAN Female % White Male Avg Salary]],7),"")</f>
        <v>4.7924999999999999E-3</v>
      </c>
      <c r="D276">
        <f>IFERROR(ROUND(FemalePayGapsByOccupationalSeriesAndRacialEthnicGroup[[#This Row],[ANHPI Female Occ Dist]]*FemalePayGapsByOccupationalSeriesAndRacialEthnicGroup[[#This Row],[ANHPI Female % White Male Avg Salary]],7),"")</f>
        <v>1.46053E-2</v>
      </c>
      <c r="E276">
        <f>IFERROR(ROUND(FemalePayGapsByOccupationalSeriesAndRacialEthnicGroup[[#This Row],[Black Female Occ Dist]]*FemalePayGapsByOccupationalSeriesAndRacialEthnicGroup[[#This Row],[Black Female % White Male Avg Salary]],7),"")</f>
        <v>1.0256299999999999E-2</v>
      </c>
      <c r="F276">
        <f>IFERROR(ROUND(FemalePayGapsByOccupationalSeriesAndRacialEthnicGroup[[#This Row],[Hispanic - Latino Female Occ Dist]]*FemalePayGapsByOccupationalSeriesAndRacialEthnicGroup[[#This Row],[Hispanic Latino % White Female Avg Salary]],7),"")</f>
        <v>2.35421E-2</v>
      </c>
      <c r="G276">
        <f>IFERROR(ROUND(FemalePayGapsByOccupationalSeriesAndRacialEthnicGroup[[#This Row],[Other Female Occ Dist]]*FemalePayGapsByOccupationalSeriesAndRacialEthnicGroup[[#This Row],[Other Female % White Male Salary]],7),"")</f>
        <v>1.3336199999999999E-2</v>
      </c>
    </row>
    <row r="277" spans="1:7" ht="15.6" x14ac:dyDescent="0.3">
      <c r="A277" s="4" t="s">
        <v>285</v>
      </c>
      <c r="B277" s="4">
        <f>IFERROR(ROUND(FemalePayGapsByOccupationalSeriesAndRacialEthnicGroup[[#This Row],[White Female Occ Dist]]*FemalePayGapsByOccupationalSeriesAndRacialEthnicGroup[[#This Row],[White Female % White Male Avg Salary]],7),"")</f>
        <v>1.51828E-2</v>
      </c>
      <c r="C277">
        <f>IFERROR(ROUND(FemalePayGapsByOccupationalSeriesAndRacialEthnicGroup[[#This Row],[AIAN Female Occ Dist]]*FemalePayGapsByOccupationalSeriesAndRacialEthnicGroup[[#This Row],[AIAN Female % White Male Avg Salary]],7),"")</f>
        <v>9.3620000000000005E-3</v>
      </c>
      <c r="D277">
        <f>IFERROR(ROUND(FemalePayGapsByOccupationalSeriesAndRacialEthnicGroup[[#This Row],[ANHPI Female Occ Dist]]*FemalePayGapsByOccupationalSeriesAndRacialEthnicGroup[[#This Row],[ANHPI Female % White Male Avg Salary]],7),"")</f>
        <v>1.9373100000000001E-2</v>
      </c>
      <c r="E277">
        <f>IFERROR(ROUND(FemalePayGapsByOccupationalSeriesAndRacialEthnicGroup[[#This Row],[Black Female Occ Dist]]*FemalePayGapsByOccupationalSeriesAndRacialEthnicGroup[[#This Row],[Black Female % White Male Avg Salary]],7),"")</f>
        <v>2.99315E-2</v>
      </c>
      <c r="F277">
        <f>IFERROR(ROUND(FemalePayGapsByOccupationalSeriesAndRacialEthnicGroup[[#This Row],[Hispanic - Latino Female Occ Dist]]*FemalePayGapsByOccupationalSeriesAndRacialEthnicGroup[[#This Row],[Hispanic Latino % White Female Avg Salary]],7),"")</f>
        <v>6.0413799999999997E-2</v>
      </c>
      <c r="G277">
        <f>IFERROR(ROUND(FemalePayGapsByOccupationalSeriesAndRacialEthnicGroup[[#This Row],[Other Female Occ Dist]]*FemalePayGapsByOccupationalSeriesAndRacialEthnicGroup[[#This Row],[Other Female % White Male Salary]],7),"")</f>
        <v>2.62598E-2</v>
      </c>
    </row>
    <row r="278" spans="1:7" ht="15.6" x14ac:dyDescent="0.3">
      <c r="A278" s="4" t="s">
        <v>286</v>
      </c>
      <c r="B278" s="4">
        <f>IFERROR(ROUND(FemalePayGapsByOccupationalSeriesAndRacialEthnicGroup[[#This Row],[White Female Occ Dist]]*FemalePayGapsByOccupationalSeriesAndRacialEthnicGroup[[#This Row],[White Female % White Male Avg Salary]],7),"")</f>
        <v>1.1410999999999999E-3</v>
      </c>
      <c r="C27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7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78">
        <f>IFERROR(ROUND(FemalePayGapsByOccupationalSeriesAndRacialEthnicGroup[[#This Row],[Black Female Occ Dist]]*FemalePayGapsByOccupationalSeriesAndRacialEthnicGroup[[#This Row],[Black Female % White Male Avg Salary]],7),"")</f>
        <v>7.8629999999999998E-4</v>
      </c>
      <c r="F278">
        <f>IFERROR(ROUND(FemalePayGapsByOccupationalSeriesAndRacialEthnicGroup[[#This Row],[Hispanic - Latino Female Occ Dist]]*FemalePayGapsByOccupationalSeriesAndRacialEthnicGroup[[#This Row],[Hispanic Latino % White Female Avg Salary]],7),"")</f>
        <v>1.3595E-3</v>
      </c>
      <c r="G27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79" spans="1:7" ht="15.6" x14ac:dyDescent="0.3">
      <c r="A279" s="4" t="s">
        <v>287</v>
      </c>
      <c r="B279" s="4">
        <f>IFERROR(ROUND(FemalePayGapsByOccupationalSeriesAndRacialEthnicGroup[[#This Row],[White Female Occ Dist]]*FemalePayGapsByOccupationalSeriesAndRacialEthnicGroup[[#This Row],[White Female % White Male Avg Salary]],7),"")</f>
        <v>1.4298E-3</v>
      </c>
      <c r="C27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7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79">
        <f>IFERROR(ROUND(FemalePayGapsByOccupationalSeriesAndRacialEthnicGroup[[#This Row],[Black Female Occ Dist]]*FemalePayGapsByOccupationalSeriesAndRacialEthnicGroup[[#This Row],[Black Female % White Male Avg Salary]],7),"")</f>
        <v>1.0356E-3</v>
      </c>
      <c r="F279">
        <f>IFERROR(ROUND(FemalePayGapsByOccupationalSeriesAndRacialEthnicGroup[[#This Row],[Hispanic - Latino Female Occ Dist]]*FemalePayGapsByOccupationalSeriesAndRacialEthnicGroup[[#This Row],[Hispanic Latino % White Female Avg Salary]],7),"")</f>
        <v>1.7413999999999999E-3</v>
      </c>
      <c r="G27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80" spans="1:7" ht="15.6" x14ac:dyDescent="0.3">
      <c r="A280" s="4" t="s">
        <v>288</v>
      </c>
      <c r="B280" s="4">
        <f>IFERROR(ROUND(FemalePayGapsByOccupationalSeriesAndRacialEthnicGroup[[#This Row],[White Female Occ Dist]]*FemalePayGapsByOccupationalSeriesAndRacialEthnicGroup[[#This Row],[White Female % White Male Avg Salary]],7),"")</f>
        <v>1.1372200000000001E-2</v>
      </c>
      <c r="C280">
        <f>IFERROR(ROUND(FemalePayGapsByOccupationalSeriesAndRacialEthnicGroup[[#This Row],[AIAN Female Occ Dist]]*FemalePayGapsByOccupationalSeriesAndRacialEthnicGroup[[#This Row],[AIAN Female % White Male Avg Salary]],7),"")</f>
        <v>2.6735000000000001E-3</v>
      </c>
      <c r="D280">
        <f>IFERROR(ROUND(FemalePayGapsByOccupationalSeriesAndRacialEthnicGroup[[#This Row],[ANHPI Female Occ Dist]]*FemalePayGapsByOccupationalSeriesAndRacialEthnicGroup[[#This Row],[ANHPI Female % White Male Avg Salary]],7),"")</f>
        <v>5.6010000000000001E-3</v>
      </c>
      <c r="E280">
        <f>IFERROR(ROUND(FemalePayGapsByOccupationalSeriesAndRacialEthnicGroup[[#This Row],[Black Female Occ Dist]]*FemalePayGapsByOccupationalSeriesAndRacialEthnicGroup[[#This Row],[Black Female % White Male Avg Salary]],7),"")</f>
        <v>3.3603000000000001E-3</v>
      </c>
      <c r="F280">
        <f>IFERROR(ROUND(FemalePayGapsByOccupationalSeriesAndRacialEthnicGroup[[#This Row],[Hispanic - Latino Female Occ Dist]]*FemalePayGapsByOccupationalSeriesAndRacialEthnicGroup[[#This Row],[Hispanic Latino % White Female Avg Salary]],7),"")</f>
        <v>1.1953800000000001E-2</v>
      </c>
      <c r="G280">
        <f>IFERROR(ROUND(FemalePayGapsByOccupationalSeriesAndRacialEthnicGroup[[#This Row],[Other Female Occ Dist]]*FemalePayGapsByOccupationalSeriesAndRacialEthnicGroup[[#This Row],[Other Female % White Male Salary]],7),"")</f>
        <v>8.6920999999999995E-3</v>
      </c>
    </row>
    <row r="281" spans="1:7" ht="31.2" x14ac:dyDescent="0.3">
      <c r="A281" s="4" t="s">
        <v>289</v>
      </c>
      <c r="B281" s="4">
        <f>IFERROR(ROUND(FemalePayGapsByOccupationalSeriesAndRacialEthnicGroup[[#This Row],[White Female Occ Dist]]*FemalePayGapsByOccupationalSeriesAndRacialEthnicGroup[[#This Row],[White Female % White Male Avg Salary]],7),"")</f>
        <v>7.8700000000000002E-5</v>
      </c>
      <c r="C28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81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81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8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8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82" spans="1:7" ht="15.6" x14ac:dyDescent="0.3">
      <c r="A282" s="4" t="s">
        <v>290</v>
      </c>
      <c r="B282" s="4">
        <f>IFERROR(ROUND(FemalePayGapsByOccupationalSeriesAndRacialEthnicGroup[[#This Row],[White Female Occ Dist]]*FemalePayGapsByOccupationalSeriesAndRacialEthnicGroup[[#This Row],[White Female % White Male Avg Salary]],7),"")</f>
        <v>6.6909999999999995E-4</v>
      </c>
      <c r="C28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82">
        <f>IFERROR(ROUND(FemalePayGapsByOccupationalSeriesAndRacialEthnicGroup[[#This Row],[ANHPI Female Occ Dist]]*FemalePayGapsByOccupationalSeriesAndRacialEthnicGroup[[#This Row],[ANHPI Female % White Male Avg Salary]],7),"")</f>
        <v>2.1450000000000001E-4</v>
      </c>
      <c r="E282">
        <f>IFERROR(ROUND(FemalePayGapsByOccupationalSeriesAndRacialEthnicGroup[[#This Row],[Black Female Occ Dist]]*FemalePayGapsByOccupationalSeriesAndRacialEthnicGroup[[#This Row],[Black Female % White Male Avg Salary]],7),"")</f>
        <v>6.5900000000000003E-5</v>
      </c>
      <c r="F282">
        <f>IFERROR(ROUND(FemalePayGapsByOccupationalSeriesAndRacialEthnicGroup[[#This Row],[Hispanic - Latino Female Occ Dist]]*FemalePayGapsByOccupationalSeriesAndRacialEthnicGroup[[#This Row],[Hispanic Latino % White Female Avg Salary]],7),"")</f>
        <v>2.162E-4</v>
      </c>
      <c r="G28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83" spans="1:7" ht="15.6" x14ac:dyDescent="0.3">
      <c r="A283" s="4" t="s">
        <v>291</v>
      </c>
      <c r="B283" s="4">
        <f>IFERROR(ROUND(FemalePayGapsByOccupationalSeriesAndRacialEthnicGroup[[#This Row],[White Female Occ Dist]]*FemalePayGapsByOccupationalSeriesAndRacialEthnicGroup[[#This Row],[White Female % White Male Avg Salary]],7),"")</f>
        <v>1.415E-4</v>
      </c>
      <c r="C28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8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8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83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8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84" spans="1:7" ht="15.6" x14ac:dyDescent="0.3">
      <c r="A284" s="4" t="s">
        <v>292</v>
      </c>
      <c r="B284" s="4">
        <f>IFERROR(ROUND(FemalePayGapsByOccupationalSeriesAndRacialEthnicGroup[[#This Row],[White Female Occ Dist]]*FemalePayGapsByOccupationalSeriesAndRacialEthnicGroup[[#This Row],[White Female % White Male Avg Salary]],7),"")</f>
        <v>4.3219999999999999E-4</v>
      </c>
      <c r="C28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8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84">
        <f>IFERROR(ROUND(FemalePayGapsByOccupationalSeriesAndRacialEthnicGroup[[#This Row],[Black Female Occ Dist]]*FemalePayGapsByOccupationalSeriesAndRacialEthnicGroup[[#This Row],[Black Female % White Male Avg Salary]],7),"")</f>
        <v>4.6640000000000001E-4</v>
      </c>
      <c r="F284">
        <f>IFERROR(ROUND(FemalePayGapsByOccupationalSeriesAndRacialEthnicGroup[[#This Row],[Hispanic - Latino Female Occ Dist]]*FemalePayGapsByOccupationalSeriesAndRacialEthnicGroup[[#This Row],[Hispanic Latino % White Female Avg Salary]],7),"")</f>
        <v>2.2701000000000002E-3</v>
      </c>
      <c r="G28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85" spans="1:7" ht="15.6" x14ac:dyDescent="0.3">
      <c r="A285" s="4" t="s">
        <v>293</v>
      </c>
      <c r="B285" s="4">
        <f>IFERROR(ROUND(FemalePayGapsByOccupationalSeriesAndRacialEthnicGroup[[#This Row],[White Female Occ Dist]]*FemalePayGapsByOccupationalSeriesAndRacialEthnicGroup[[#This Row],[White Female % White Male Avg Salary]],7),"")</f>
        <v>3.679E-4</v>
      </c>
      <c r="C28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8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85">
        <f>IFERROR(ROUND(FemalePayGapsByOccupationalSeriesAndRacialEthnicGroup[[#This Row],[Black Female Occ Dist]]*FemalePayGapsByOccupationalSeriesAndRacialEthnicGroup[[#This Row],[Black Female % White Male Avg Salary]],7),"")</f>
        <v>8.8360000000000001E-4</v>
      </c>
      <c r="F285">
        <f>IFERROR(ROUND(FemalePayGapsByOccupationalSeriesAndRacialEthnicGroup[[#This Row],[Hispanic - Latino Female Occ Dist]]*FemalePayGapsByOccupationalSeriesAndRacialEthnicGroup[[#This Row],[Hispanic Latino % White Female Avg Salary]],7),"")</f>
        <v>1.2585000000000001E-3</v>
      </c>
      <c r="G28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86" spans="1:7" ht="15.6" x14ac:dyDescent="0.3">
      <c r="A286" s="4" t="s">
        <v>294</v>
      </c>
      <c r="B286" s="4">
        <f>IFERROR(ROUND(FemalePayGapsByOccupationalSeriesAndRacialEthnicGroup[[#This Row],[White Female Occ Dist]]*FemalePayGapsByOccupationalSeriesAndRacialEthnicGroup[[#This Row],[White Female % White Male Avg Salary]],7),"")</f>
        <v>1.9980000000000002E-3</v>
      </c>
      <c r="C28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86">
        <f>IFERROR(ROUND(FemalePayGapsByOccupationalSeriesAndRacialEthnicGroup[[#This Row],[ANHPI Female Occ Dist]]*FemalePayGapsByOccupationalSeriesAndRacialEthnicGroup[[#This Row],[ANHPI Female % White Male Avg Salary]],7),"")</f>
        <v>1.0914E-3</v>
      </c>
      <c r="E286">
        <f>IFERROR(ROUND(FemalePayGapsByOccupationalSeriesAndRacialEthnicGroup[[#This Row],[Black Female Occ Dist]]*FemalePayGapsByOccupationalSeriesAndRacialEthnicGroup[[#This Row],[Black Female % White Male Avg Salary]],7),"")</f>
        <v>3.4156E-3</v>
      </c>
      <c r="F286">
        <f>IFERROR(ROUND(FemalePayGapsByOccupationalSeriesAndRacialEthnicGroup[[#This Row],[Hispanic - Latino Female Occ Dist]]*FemalePayGapsByOccupationalSeriesAndRacialEthnicGroup[[#This Row],[Hispanic Latino % White Female Avg Salary]],7),"")</f>
        <v>3.2269E-3</v>
      </c>
      <c r="G28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87" spans="1:7" ht="15.6" x14ac:dyDescent="0.3">
      <c r="A287" s="4" t="s">
        <v>295</v>
      </c>
      <c r="B287" s="4">
        <f>IFERROR(ROUND(FemalePayGapsByOccupationalSeriesAndRacialEthnicGroup[[#This Row],[White Female Occ Dist]]*FemalePayGapsByOccupationalSeriesAndRacialEthnicGroup[[#This Row],[White Female % White Male Avg Salary]],7),"")</f>
        <v>5.4670000000000001E-4</v>
      </c>
      <c r="C28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8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87">
        <f>IFERROR(ROUND(FemalePayGapsByOccupationalSeriesAndRacialEthnicGroup[[#This Row],[Black Female Occ Dist]]*FemalePayGapsByOccupationalSeriesAndRacialEthnicGroup[[#This Row],[Black Female % White Male Avg Salary]],7),"")</f>
        <v>1.1742E-3</v>
      </c>
      <c r="F287">
        <f>IFERROR(ROUND(FemalePayGapsByOccupationalSeriesAndRacialEthnicGroup[[#This Row],[Hispanic - Latino Female Occ Dist]]*FemalePayGapsByOccupationalSeriesAndRacialEthnicGroup[[#This Row],[Hispanic Latino % White Female Avg Salary]],7),"")</f>
        <v>2.0907E-3</v>
      </c>
      <c r="G28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88" spans="1:7" ht="31.2" x14ac:dyDescent="0.3">
      <c r="A288" s="4" t="s">
        <v>296</v>
      </c>
      <c r="B288" s="4">
        <f>IFERROR(ROUND(FemalePayGapsByOccupationalSeriesAndRacialEthnicGroup[[#This Row],[White Female Occ Dist]]*FemalePayGapsByOccupationalSeriesAndRacialEthnicGroup[[#This Row],[White Female % White Male Avg Salary]],7),"")</f>
        <v>2.9300000000000001E-5</v>
      </c>
      <c r="C28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8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88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28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8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89" spans="1:7" ht="15.6" x14ac:dyDescent="0.3">
      <c r="A289" s="4" t="s">
        <v>297</v>
      </c>
      <c r="B289" s="4">
        <f>IFERROR(ROUND(FemalePayGapsByOccupationalSeriesAndRacialEthnicGroup[[#This Row],[White Female Occ Dist]]*FemalePayGapsByOccupationalSeriesAndRacialEthnicGroup[[#This Row],[White Female % White Male Avg Salary]],7),"")</f>
        <v>7.1489999999999998E-4</v>
      </c>
      <c r="C28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8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89">
        <f>IFERROR(ROUND(FemalePayGapsByOccupationalSeriesAndRacialEthnicGroup[[#This Row],[Black Female Occ Dist]]*FemalePayGapsByOccupationalSeriesAndRacialEthnicGroup[[#This Row],[Black Female % White Male Avg Salary]],7),"")</f>
        <v>4.2240000000000002E-4</v>
      </c>
      <c r="F289">
        <f>IFERROR(ROUND(FemalePayGapsByOccupationalSeriesAndRacialEthnicGroup[[#This Row],[Hispanic - Latino Female Occ Dist]]*FemalePayGapsByOccupationalSeriesAndRacialEthnicGroup[[#This Row],[Hispanic Latino % White Female Avg Salary]],7),"")</f>
        <v>1.4406E-3</v>
      </c>
      <c r="G28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90" spans="1:7" ht="15.6" x14ac:dyDescent="0.3">
      <c r="A290" s="4" t="s">
        <v>298</v>
      </c>
      <c r="B290" s="4">
        <f>IFERROR(ROUND(FemalePayGapsByOccupationalSeriesAndRacialEthnicGroup[[#This Row],[White Female Occ Dist]]*FemalePayGapsByOccupationalSeriesAndRacialEthnicGroup[[#This Row],[White Female % White Male Avg Salary]],7),"")</f>
        <v>2.2660000000000001E-4</v>
      </c>
      <c r="C29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9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90">
        <f>IFERROR(ROUND(FemalePayGapsByOccupationalSeriesAndRacialEthnicGroup[[#This Row],[Black Female Occ Dist]]*FemalePayGapsByOccupationalSeriesAndRacialEthnicGroup[[#This Row],[Black Female % White Male Avg Salary]],7),"")</f>
        <v>4.5150000000000002E-4</v>
      </c>
      <c r="F29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9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91" spans="1:7" ht="15.6" x14ac:dyDescent="0.3">
      <c r="A291" s="4" t="s">
        <v>299</v>
      </c>
      <c r="B291" s="4">
        <f>IFERROR(ROUND(FemalePayGapsByOccupationalSeriesAndRacialEthnicGroup[[#This Row],[White Female Occ Dist]]*FemalePayGapsByOccupationalSeriesAndRacialEthnicGroup[[#This Row],[White Female % White Male Avg Salary]],7),"")</f>
        <v>4.7584000000000003E-3</v>
      </c>
      <c r="C291">
        <f>IFERROR(ROUND(FemalePayGapsByOccupationalSeriesAndRacialEthnicGroup[[#This Row],[AIAN Female Occ Dist]]*FemalePayGapsByOccupationalSeriesAndRacialEthnicGroup[[#This Row],[AIAN Female % White Male Avg Salary]],7),"")</f>
        <v>1.2482000000000001E-3</v>
      </c>
      <c r="D291">
        <f>IFERROR(ROUND(FemalePayGapsByOccupationalSeriesAndRacialEthnicGroup[[#This Row],[ANHPI Female Occ Dist]]*FemalePayGapsByOccupationalSeriesAndRacialEthnicGroup[[#This Row],[ANHPI Female % White Male Avg Salary]],7),"")</f>
        <v>4.5807E-3</v>
      </c>
      <c r="E291">
        <f>IFERROR(ROUND(FemalePayGapsByOccupationalSeriesAndRacialEthnicGroup[[#This Row],[Black Female Occ Dist]]*FemalePayGapsByOccupationalSeriesAndRacialEthnicGroup[[#This Row],[Black Female % White Male Avg Salary]],7),"")</f>
        <v>2.8303999999999998E-3</v>
      </c>
      <c r="F291">
        <f>IFERROR(ROUND(FemalePayGapsByOccupationalSeriesAndRacialEthnicGroup[[#This Row],[Hispanic - Latino Female Occ Dist]]*FemalePayGapsByOccupationalSeriesAndRacialEthnicGroup[[#This Row],[Hispanic Latino % White Female Avg Salary]],7),"")</f>
        <v>2.1614100000000001E-2</v>
      </c>
      <c r="G291">
        <f>IFERROR(ROUND(FemalePayGapsByOccupationalSeriesAndRacialEthnicGroup[[#This Row],[Other Female Occ Dist]]*FemalePayGapsByOccupationalSeriesAndRacialEthnicGroup[[#This Row],[Other Female % White Male Salary]],7),"")</f>
        <v>7.2186000000000004E-3</v>
      </c>
    </row>
    <row r="292" spans="1:7" ht="15.6" x14ac:dyDescent="0.3">
      <c r="A292" s="4" t="s">
        <v>300</v>
      </c>
      <c r="B292" s="4">
        <f>IFERROR(ROUND(FemalePayGapsByOccupationalSeriesAndRacialEthnicGroup[[#This Row],[White Female Occ Dist]]*FemalePayGapsByOccupationalSeriesAndRacialEthnicGroup[[#This Row],[White Female % White Male Avg Salary]],7),"")</f>
        <v>1.1150000000000001E-3</v>
      </c>
      <c r="C29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92">
        <f>IFERROR(ROUND(FemalePayGapsByOccupationalSeriesAndRacialEthnicGroup[[#This Row],[ANHPI Female Occ Dist]]*FemalePayGapsByOccupationalSeriesAndRacialEthnicGroup[[#This Row],[ANHPI Female % White Male Avg Salary]],7),"")</f>
        <v>9.7399999999999996E-5</v>
      </c>
      <c r="E292">
        <f>IFERROR(ROUND(FemalePayGapsByOccupationalSeriesAndRacialEthnicGroup[[#This Row],[Black Female Occ Dist]]*FemalePayGapsByOccupationalSeriesAndRacialEthnicGroup[[#This Row],[Black Female % White Male Avg Salary]],7),"")</f>
        <v>1.1E-4</v>
      </c>
      <c r="F292">
        <f>IFERROR(ROUND(FemalePayGapsByOccupationalSeriesAndRacialEthnicGroup[[#This Row],[Hispanic - Latino Female Occ Dist]]*FemalePayGapsByOccupationalSeriesAndRacialEthnicGroup[[#This Row],[Hispanic Latino % White Female Avg Salary]],7),"")</f>
        <v>7.1916000000000002E-3</v>
      </c>
      <c r="G292">
        <f>IFERROR(ROUND(FemalePayGapsByOccupationalSeriesAndRacialEthnicGroup[[#This Row],[Other Female Occ Dist]]*FemalePayGapsByOccupationalSeriesAndRacialEthnicGroup[[#This Row],[Other Female % White Male Salary]],7),"")</f>
        <v>9.0589999999999996E-4</v>
      </c>
    </row>
    <row r="293" spans="1:7" ht="15.6" x14ac:dyDescent="0.3">
      <c r="A293" s="4" t="s">
        <v>301</v>
      </c>
      <c r="B293" s="4">
        <f>IFERROR(ROUND(FemalePayGapsByOccupationalSeriesAndRacialEthnicGroup[[#This Row],[White Female Occ Dist]]*FemalePayGapsByOccupationalSeriesAndRacialEthnicGroup[[#This Row],[White Female % White Male Avg Salary]],7),"")</f>
        <v>1.6391000000000001E-3</v>
      </c>
      <c r="C29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93">
        <f>IFERROR(ROUND(FemalePayGapsByOccupationalSeriesAndRacialEthnicGroup[[#This Row],[ANHPI Female Occ Dist]]*FemalePayGapsByOccupationalSeriesAndRacialEthnicGroup[[#This Row],[ANHPI Female % White Male Avg Salary]],7),"")</f>
        <v>1.0311999999999999E-3</v>
      </c>
      <c r="E293">
        <f>IFERROR(ROUND(FemalePayGapsByOccupationalSeriesAndRacialEthnicGroup[[#This Row],[Black Female Occ Dist]]*FemalePayGapsByOccupationalSeriesAndRacialEthnicGroup[[#This Row],[Black Female % White Male Avg Salary]],7),"")</f>
        <v>1.2665E-3</v>
      </c>
      <c r="F293">
        <f>IFERROR(ROUND(FemalePayGapsByOccupationalSeriesAndRacialEthnicGroup[[#This Row],[Hispanic - Latino Female Occ Dist]]*FemalePayGapsByOccupationalSeriesAndRacialEthnicGroup[[#This Row],[Hispanic Latino % White Female Avg Salary]],7),"")</f>
        <v>1.2939E-3</v>
      </c>
      <c r="G293">
        <f>IFERROR(ROUND(FemalePayGapsByOccupationalSeriesAndRacialEthnicGroup[[#This Row],[Other Female Occ Dist]]*FemalePayGapsByOccupationalSeriesAndRacialEthnicGroup[[#This Row],[Other Female % White Male Salary]],7),"")</f>
        <v>1.9903E-3</v>
      </c>
    </row>
    <row r="294" spans="1:7" ht="15.6" x14ac:dyDescent="0.3">
      <c r="A294" s="4" t="s">
        <v>302</v>
      </c>
      <c r="B294" s="4">
        <f>IFERROR(ROUND(FemalePayGapsByOccupationalSeriesAndRacialEthnicGroup[[#This Row],[White Female Occ Dist]]*FemalePayGapsByOccupationalSeriesAndRacialEthnicGroup[[#This Row],[White Female % White Male Avg Salary]],7),"")</f>
        <v>4.9549999999999996E-4</v>
      </c>
      <c r="C29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9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94">
        <f>IFERROR(ROUND(FemalePayGapsByOccupationalSeriesAndRacialEthnicGroup[[#This Row],[Black Female Occ Dist]]*FemalePayGapsByOccupationalSeriesAndRacialEthnicGroup[[#This Row],[Black Female % White Male Avg Salary]],7),"")</f>
        <v>2.9720000000000001E-4</v>
      </c>
      <c r="F294">
        <f>IFERROR(ROUND(FemalePayGapsByOccupationalSeriesAndRacialEthnicGroup[[#This Row],[Hispanic - Latino Female Occ Dist]]*FemalePayGapsByOccupationalSeriesAndRacialEthnicGroup[[#This Row],[Hispanic Latino % White Female Avg Salary]],7),"")</f>
        <v>7.4839999999999998E-4</v>
      </c>
      <c r="G29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295" spans="1:7" ht="15.6" x14ac:dyDescent="0.3">
      <c r="A295" s="4" t="s">
        <v>303</v>
      </c>
      <c r="B295" s="4">
        <f>IFERROR(ROUND(FemalePayGapsByOccupationalSeriesAndRacialEthnicGroup[[#This Row],[White Female Occ Dist]]*FemalePayGapsByOccupationalSeriesAndRacialEthnicGroup[[#This Row],[White Female % White Male Avg Salary]],7),"")</f>
        <v>1.2845000000000001E-3</v>
      </c>
      <c r="C29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95">
        <f>IFERROR(ROUND(FemalePayGapsByOccupationalSeriesAndRacialEthnicGroup[[#This Row],[ANHPI Female Occ Dist]]*FemalePayGapsByOccupationalSeriesAndRacialEthnicGroup[[#This Row],[ANHPI Female % White Male Avg Salary]],7),"")</f>
        <v>7.9730000000000003E-4</v>
      </c>
      <c r="E295">
        <f>IFERROR(ROUND(FemalePayGapsByOccupationalSeriesAndRacialEthnicGroup[[#This Row],[Black Female Occ Dist]]*FemalePayGapsByOccupationalSeriesAndRacialEthnicGroup[[#This Row],[Black Female % White Male Avg Salary]],7),"")</f>
        <v>1.7168999999999999E-3</v>
      </c>
      <c r="F295">
        <f>IFERROR(ROUND(FemalePayGapsByOccupationalSeriesAndRacialEthnicGroup[[#This Row],[Hispanic - Latino Female Occ Dist]]*FemalePayGapsByOccupationalSeriesAndRacialEthnicGroup[[#This Row],[Hispanic Latino % White Female Avg Salary]],7),"")</f>
        <v>1.3247000000000001E-3</v>
      </c>
      <c r="G295">
        <f>IFERROR(ROUND(FemalePayGapsByOccupationalSeriesAndRacialEthnicGroup[[#This Row],[Other Female Occ Dist]]*FemalePayGapsByOccupationalSeriesAndRacialEthnicGroup[[#This Row],[Other Female % White Male Salary]],7),"")</f>
        <v>2.3292E-3</v>
      </c>
    </row>
    <row r="296" spans="1:7" ht="15.6" x14ac:dyDescent="0.3">
      <c r="A296" s="4" t="s">
        <v>304</v>
      </c>
      <c r="B296" s="4">
        <f>IFERROR(ROUND(FemalePayGapsByOccupationalSeriesAndRacialEthnicGroup[[#This Row],[White Female Occ Dist]]*FemalePayGapsByOccupationalSeriesAndRacialEthnicGroup[[#This Row],[White Female % White Male Avg Salary]],7),"")</f>
        <v>1.4625E-3</v>
      </c>
      <c r="C29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96">
        <f>IFERROR(ROUND(FemalePayGapsByOccupationalSeriesAndRacialEthnicGroup[[#This Row],[ANHPI Female Occ Dist]]*FemalePayGapsByOccupationalSeriesAndRacialEthnicGroup[[#This Row],[ANHPI Female % White Male Avg Salary]],7),"")</f>
        <v>1.0667000000000001E-3</v>
      </c>
      <c r="E296">
        <f>IFERROR(ROUND(FemalePayGapsByOccupationalSeriesAndRacialEthnicGroup[[#This Row],[Black Female Occ Dist]]*FemalePayGapsByOccupationalSeriesAndRacialEthnicGroup[[#This Row],[Black Female % White Male Avg Salary]],7),"")</f>
        <v>1.7786E-3</v>
      </c>
      <c r="F296">
        <f>IFERROR(ROUND(FemalePayGapsByOccupationalSeriesAndRacialEthnicGroup[[#This Row],[Hispanic - Latino Female Occ Dist]]*FemalePayGapsByOccupationalSeriesAndRacialEthnicGroup[[#This Row],[Hispanic Latino % White Female Avg Salary]],7),"")</f>
        <v>1.5582E-3</v>
      </c>
      <c r="G296">
        <f>IFERROR(ROUND(FemalePayGapsByOccupationalSeriesAndRacialEthnicGroup[[#This Row],[Other Female Occ Dist]]*FemalePayGapsByOccupationalSeriesAndRacialEthnicGroup[[#This Row],[Other Female % White Male Salary]],7),"")</f>
        <v>2.4830999999999998E-3</v>
      </c>
    </row>
    <row r="297" spans="1:7" ht="15.6" x14ac:dyDescent="0.3">
      <c r="A297" s="4" t="s">
        <v>305</v>
      </c>
      <c r="B297" s="4">
        <f>IFERROR(ROUND(FemalePayGapsByOccupationalSeriesAndRacialEthnicGroup[[#This Row],[White Female Occ Dist]]*FemalePayGapsByOccupationalSeriesAndRacialEthnicGroup[[#This Row],[White Female % White Male Avg Salary]],7),"")</f>
        <v>2.8089999999999999E-3</v>
      </c>
      <c r="C297">
        <f>IFERROR(ROUND(FemalePayGapsByOccupationalSeriesAndRacialEthnicGroup[[#This Row],[AIAN Female Occ Dist]]*FemalePayGapsByOccupationalSeriesAndRacialEthnicGroup[[#This Row],[AIAN Female % White Male Avg Salary]],7),"")</f>
        <v>5.6687999999999999E-3</v>
      </c>
      <c r="D297">
        <f>IFERROR(ROUND(FemalePayGapsByOccupationalSeriesAndRacialEthnicGroup[[#This Row],[ANHPI Female Occ Dist]]*FemalePayGapsByOccupationalSeriesAndRacialEthnicGroup[[#This Row],[ANHPI Female % White Male Avg Salary]],7),"")</f>
        <v>2.5339E-3</v>
      </c>
      <c r="E297">
        <f>IFERROR(ROUND(FemalePayGapsByOccupationalSeriesAndRacialEthnicGroup[[#This Row],[Black Female Occ Dist]]*FemalePayGapsByOccupationalSeriesAndRacialEthnicGroup[[#This Row],[Black Female % White Male Avg Salary]],7),"")</f>
        <v>4.1130000000000003E-3</v>
      </c>
      <c r="F297">
        <f>IFERROR(ROUND(FemalePayGapsByOccupationalSeriesAndRacialEthnicGroup[[#This Row],[Hispanic - Latino Female Occ Dist]]*FemalePayGapsByOccupationalSeriesAndRacialEthnicGroup[[#This Row],[Hispanic Latino % White Female Avg Salary]],7),"")</f>
        <v>4.0625000000000001E-3</v>
      </c>
      <c r="G297">
        <f>IFERROR(ROUND(FemalePayGapsByOccupationalSeriesAndRacialEthnicGroup[[#This Row],[Other Female Occ Dist]]*FemalePayGapsByOccupationalSeriesAndRacialEthnicGroup[[#This Row],[Other Female % White Male Salary]],7),"")</f>
        <v>3.6005E-3</v>
      </c>
    </row>
    <row r="298" spans="1:7" ht="15.6" x14ac:dyDescent="0.3">
      <c r="A298" s="4" t="s">
        <v>306</v>
      </c>
      <c r="B298" s="4">
        <f>IFERROR(ROUND(FemalePayGapsByOccupationalSeriesAndRacialEthnicGroup[[#This Row],[White Female Occ Dist]]*FemalePayGapsByOccupationalSeriesAndRacialEthnicGroup[[#This Row],[White Female % White Male Avg Salary]],7),"")</f>
        <v>3.0051000000000001E-3</v>
      </c>
      <c r="C298">
        <f>IFERROR(ROUND(FemalePayGapsByOccupationalSeriesAndRacialEthnicGroup[[#This Row],[AIAN Female Occ Dist]]*FemalePayGapsByOccupationalSeriesAndRacialEthnicGroup[[#This Row],[AIAN Female % White Male Avg Salary]],7),"")</f>
        <v>2.8825999999999999E-3</v>
      </c>
      <c r="D298">
        <f>IFERROR(ROUND(FemalePayGapsByOccupationalSeriesAndRacialEthnicGroup[[#This Row],[ANHPI Female Occ Dist]]*FemalePayGapsByOccupationalSeriesAndRacialEthnicGroup[[#This Row],[ANHPI Female % White Male Avg Salary]],7),"")</f>
        <v>1.5181000000000001E-3</v>
      </c>
      <c r="E298">
        <f>IFERROR(ROUND(FemalePayGapsByOccupationalSeriesAndRacialEthnicGroup[[#This Row],[Black Female Occ Dist]]*FemalePayGapsByOccupationalSeriesAndRacialEthnicGroup[[#This Row],[Black Female % White Male Avg Salary]],7),"")</f>
        <v>3.9573999999999998E-3</v>
      </c>
      <c r="F298">
        <f>IFERROR(ROUND(FemalePayGapsByOccupationalSeriesAndRacialEthnicGroup[[#This Row],[Hispanic - Latino Female Occ Dist]]*FemalePayGapsByOccupationalSeriesAndRacialEthnicGroup[[#This Row],[Hispanic Latino % White Female Avg Salary]],7),"")</f>
        <v>2.7555000000000001E-3</v>
      </c>
      <c r="G298">
        <f>IFERROR(ROUND(FemalePayGapsByOccupationalSeriesAndRacialEthnicGroup[[#This Row],[Other Female Occ Dist]]*FemalePayGapsByOccupationalSeriesAndRacialEthnicGroup[[#This Row],[Other Female % White Male Salary]],7),"")</f>
        <v>3.1454999999999999E-3</v>
      </c>
    </row>
    <row r="299" spans="1:7" ht="15.6" x14ac:dyDescent="0.3">
      <c r="A299" s="4" t="s">
        <v>307</v>
      </c>
      <c r="B299" s="4">
        <f>IFERROR(ROUND(FemalePayGapsByOccupationalSeriesAndRacialEthnicGroup[[#This Row],[White Female Occ Dist]]*FemalePayGapsByOccupationalSeriesAndRacialEthnicGroup[[#This Row],[White Female % White Male Avg Salary]],7),"")</f>
        <v>1.3559999999999999E-4</v>
      </c>
      <c r="C29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29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299">
        <f>IFERROR(ROUND(FemalePayGapsByOccupationalSeriesAndRacialEthnicGroup[[#This Row],[Black Female Occ Dist]]*FemalePayGapsByOccupationalSeriesAndRacialEthnicGroup[[#This Row],[Black Female % White Male Avg Salary]],7),"")</f>
        <v>1.3009999999999999E-4</v>
      </c>
      <c r="F299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29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00" spans="1:7" ht="15.6" x14ac:dyDescent="0.3">
      <c r="A300" s="4" t="s">
        <v>308</v>
      </c>
      <c r="B300" s="4">
        <f>IFERROR(ROUND(FemalePayGapsByOccupationalSeriesAndRacialEthnicGroup[[#This Row],[White Female Occ Dist]]*FemalePayGapsByOccupationalSeriesAndRacialEthnicGroup[[#This Row],[White Female % White Male Avg Salary]],7),"")</f>
        <v>7.0099999999999996E-5</v>
      </c>
      <c r="C30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0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00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00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0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01" spans="1:7" ht="15.6" x14ac:dyDescent="0.3">
      <c r="A301" s="4" t="s">
        <v>309</v>
      </c>
      <c r="B301" s="4">
        <f>IFERROR(ROUND(FemalePayGapsByOccupationalSeriesAndRacialEthnicGroup[[#This Row],[White Female Occ Dist]]*FemalePayGapsByOccupationalSeriesAndRacialEthnicGroup[[#This Row],[White Female % White Male Avg Salary]],7),"")</f>
        <v>2.084E-4</v>
      </c>
      <c r="C30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01">
        <f>IFERROR(ROUND(FemalePayGapsByOccupationalSeriesAndRacialEthnicGroup[[#This Row],[ANHPI Female Occ Dist]]*FemalePayGapsByOccupationalSeriesAndRacialEthnicGroup[[#This Row],[ANHPI Female % White Male Avg Salary]],7),"")</f>
        <v>1.3822000000000001E-3</v>
      </c>
      <c r="E301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01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01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02" spans="1:7" ht="15.6" x14ac:dyDescent="0.3">
      <c r="A302" s="4" t="s">
        <v>310</v>
      </c>
      <c r="B302" s="4">
        <f>IFERROR(ROUND(FemalePayGapsByOccupationalSeriesAndRacialEthnicGroup[[#This Row],[White Female Occ Dist]]*FemalePayGapsByOccupationalSeriesAndRacialEthnicGroup[[#This Row],[White Female % White Male Avg Salary]],7),"")</f>
        <v>1.2853000000000001E-3</v>
      </c>
      <c r="C30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02">
        <f>IFERROR(ROUND(FemalePayGapsByOccupationalSeriesAndRacialEthnicGroup[[#This Row],[ANHPI Female Occ Dist]]*FemalePayGapsByOccupationalSeriesAndRacialEthnicGroup[[#This Row],[ANHPI Female % White Male Avg Salary]],7),"")</f>
        <v>1.0054E-3</v>
      </c>
      <c r="E302">
        <f>IFERROR(ROUND(FemalePayGapsByOccupationalSeriesAndRacialEthnicGroup[[#This Row],[Black Female Occ Dist]]*FemalePayGapsByOccupationalSeriesAndRacialEthnicGroup[[#This Row],[Black Female % White Male Avg Salary]],7),"")</f>
        <v>1.3563E-3</v>
      </c>
      <c r="F302">
        <f>IFERROR(ROUND(FemalePayGapsByOccupationalSeriesAndRacialEthnicGroup[[#This Row],[Hispanic - Latino Female Occ Dist]]*FemalePayGapsByOccupationalSeriesAndRacialEthnicGroup[[#This Row],[Hispanic Latino % White Female Avg Salary]],7),"")</f>
        <v>1.1723E-3</v>
      </c>
      <c r="G302">
        <f>IFERROR(ROUND(FemalePayGapsByOccupationalSeriesAndRacialEthnicGroup[[#This Row],[Other Female Occ Dist]]*FemalePayGapsByOccupationalSeriesAndRacialEthnicGroup[[#This Row],[Other Female % White Male Salary]],7),"")</f>
        <v>1.3902999999999999E-3</v>
      </c>
    </row>
    <row r="303" spans="1:7" ht="15.6" x14ac:dyDescent="0.3">
      <c r="A303" s="4" t="s">
        <v>311</v>
      </c>
      <c r="B303" s="4">
        <f>IFERROR(ROUND(FemalePayGapsByOccupationalSeriesAndRacialEthnicGroup[[#This Row],[White Female Occ Dist]]*FemalePayGapsByOccupationalSeriesAndRacialEthnicGroup[[#This Row],[White Female % White Male Avg Salary]],7),"")</f>
        <v>1.3151E-3</v>
      </c>
      <c r="C30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03">
        <f>IFERROR(ROUND(FemalePayGapsByOccupationalSeriesAndRacialEthnicGroup[[#This Row],[ANHPI Female Occ Dist]]*FemalePayGapsByOccupationalSeriesAndRacialEthnicGroup[[#This Row],[ANHPI Female % White Male Avg Salary]],7),"")</f>
        <v>1.5778000000000001E-3</v>
      </c>
      <c r="E303">
        <f>IFERROR(ROUND(FemalePayGapsByOccupationalSeriesAndRacialEthnicGroup[[#This Row],[Black Female Occ Dist]]*FemalePayGapsByOccupationalSeriesAndRacialEthnicGroup[[#This Row],[Black Female % White Male Avg Salary]],7),"")</f>
        <v>2.2117E-3</v>
      </c>
      <c r="F303">
        <f>IFERROR(ROUND(FemalePayGapsByOccupationalSeriesAndRacialEthnicGroup[[#This Row],[Hispanic - Latino Female Occ Dist]]*FemalePayGapsByOccupationalSeriesAndRacialEthnicGroup[[#This Row],[Hispanic Latino % White Female Avg Salary]],7),"")</f>
        <v>1.9193999999999999E-3</v>
      </c>
      <c r="G30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04" spans="1:7" ht="15.6" x14ac:dyDescent="0.3">
      <c r="A304" s="4" t="s">
        <v>312</v>
      </c>
      <c r="B304" s="4">
        <f>IFERROR(ROUND(FemalePayGapsByOccupationalSeriesAndRacialEthnicGroup[[#This Row],[White Female Occ Dist]]*FemalePayGapsByOccupationalSeriesAndRacialEthnicGroup[[#This Row],[White Female % White Male Avg Salary]],7),"")</f>
        <v>3.7700000000000002E-5</v>
      </c>
      <c r="C30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0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0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0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0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05" spans="1:7" ht="15.6" x14ac:dyDescent="0.3">
      <c r="A305" s="4" t="s">
        <v>313</v>
      </c>
      <c r="B305" s="4">
        <f>IFERROR(ROUND(FemalePayGapsByOccupationalSeriesAndRacialEthnicGroup[[#This Row],[White Female Occ Dist]]*FemalePayGapsByOccupationalSeriesAndRacialEthnicGroup[[#This Row],[White Female % White Male Avg Salary]],7),"")</f>
        <v>8.5799999999999998E-5</v>
      </c>
      <c r="C30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0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0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05">
        <f>IFERROR(ROUND(FemalePayGapsByOccupationalSeriesAndRacialEthnicGroup[[#This Row],[Hispanic - Latino Female Occ Dist]]*FemalePayGapsByOccupationalSeriesAndRacialEthnicGroup[[#This Row],[Hispanic Latino % White Female Avg Salary]],7),"")</f>
        <v>3.5409999999999999E-4</v>
      </c>
      <c r="G30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06" spans="1:7" ht="15.6" x14ac:dyDescent="0.3">
      <c r="A306" s="4" t="s">
        <v>314</v>
      </c>
      <c r="B306" s="4">
        <f>IFERROR(ROUND(FemalePayGapsByOccupationalSeriesAndRacialEthnicGroup[[#This Row],[White Female Occ Dist]]*FemalePayGapsByOccupationalSeriesAndRacialEthnicGroup[[#This Row],[White Female % White Male Avg Salary]],7),"")</f>
        <v>1.4530000000000001E-4</v>
      </c>
      <c r="C306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06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06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06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06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07" spans="1:7" ht="15.6" x14ac:dyDescent="0.3">
      <c r="A307" s="4" t="s">
        <v>315</v>
      </c>
      <c r="B307" s="4">
        <f>IFERROR(ROUND(FemalePayGapsByOccupationalSeriesAndRacialEthnicGroup[[#This Row],[White Female Occ Dist]]*FemalePayGapsByOccupationalSeriesAndRacialEthnicGroup[[#This Row],[White Female % White Male Avg Salary]],7),"")</f>
        <v>5.2019999999999996E-4</v>
      </c>
      <c r="C307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07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07">
        <f>IFERROR(ROUND(FemalePayGapsByOccupationalSeriesAndRacialEthnicGroup[[#This Row],[Black Female Occ Dist]]*FemalePayGapsByOccupationalSeriesAndRacialEthnicGroup[[#This Row],[Black Female % White Male Avg Salary]],7),"")</f>
        <v>7.6829999999999997E-4</v>
      </c>
      <c r="F307">
        <f>IFERROR(ROUND(FemalePayGapsByOccupationalSeriesAndRacialEthnicGroup[[#This Row],[Hispanic - Latino Female Occ Dist]]*FemalePayGapsByOccupationalSeriesAndRacialEthnicGroup[[#This Row],[Hispanic Latino % White Female Avg Salary]],7),"")</f>
        <v>4.5419999999999998E-4</v>
      </c>
      <c r="G307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08" spans="1:7" ht="15.6" x14ac:dyDescent="0.3">
      <c r="A308" s="4" t="s">
        <v>316</v>
      </c>
      <c r="B308" s="4">
        <f>IFERROR(ROUND(FemalePayGapsByOccupationalSeriesAndRacialEthnicGroup[[#This Row],[White Female Occ Dist]]*FemalePayGapsByOccupationalSeriesAndRacialEthnicGroup[[#This Row],[White Female % White Male Avg Salary]],7),"")</f>
        <v>9.3900000000000006E-5</v>
      </c>
      <c r="C308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08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08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08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08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09" spans="1:7" ht="15.6" x14ac:dyDescent="0.3">
      <c r="A309" s="4" t="s">
        <v>317</v>
      </c>
      <c r="B309" s="4">
        <f>IFERROR(ROUND(FemalePayGapsByOccupationalSeriesAndRacialEthnicGroup[[#This Row],[White Female Occ Dist]]*FemalePayGapsByOccupationalSeriesAndRacialEthnicGroup[[#This Row],[White Female % White Male Avg Salary]],7),"")</f>
        <v>4.551E-4</v>
      </c>
      <c r="C309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09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09">
        <f>IFERROR(ROUND(FemalePayGapsByOccupationalSeriesAndRacialEthnicGroup[[#This Row],[Black Female Occ Dist]]*FemalePayGapsByOccupationalSeriesAndRacialEthnicGroup[[#This Row],[Black Female % White Male Avg Salary]],7),"")</f>
        <v>2.8200000000000002E-4</v>
      </c>
      <c r="F309">
        <f>IFERROR(ROUND(FemalePayGapsByOccupationalSeriesAndRacialEthnicGroup[[#This Row],[Hispanic - Latino Female Occ Dist]]*FemalePayGapsByOccupationalSeriesAndRacialEthnicGroup[[#This Row],[Hispanic Latino % White Female Avg Salary]],7),"")</f>
        <v>4.0939999999999998E-4</v>
      </c>
      <c r="G309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10" spans="1:7" ht="15.6" x14ac:dyDescent="0.3">
      <c r="A310" s="4" t="s">
        <v>318</v>
      </c>
      <c r="B310" s="4">
        <f>IFERROR(ROUND(FemalePayGapsByOccupationalSeriesAndRacialEthnicGroup[[#This Row],[White Female Occ Dist]]*FemalePayGapsByOccupationalSeriesAndRacialEthnicGroup[[#This Row],[White Female % White Male Avg Salary]],7),"")</f>
        <v>8.296E-4</v>
      </c>
      <c r="C310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10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10">
        <f>IFERROR(ROUND(FemalePayGapsByOccupationalSeriesAndRacialEthnicGroup[[#This Row],[Black Female Occ Dist]]*FemalePayGapsByOccupationalSeriesAndRacialEthnicGroup[[#This Row],[Black Female % White Male Avg Salary]],7),"")</f>
        <v>4.885E-4</v>
      </c>
      <c r="F310">
        <f>IFERROR(ROUND(FemalePayGapsByOccupationalSeriesAndRacialEthnicGroup[[#This Row],[Hispanic - Latino Female Occ Dist]]*FemalePayGapsByOccupationalSeriesAndRacialEthnicGroup[[#This Row],[Hispanic Latino % White Female Avg Salary]],7),"")</f>
        <v>8.6870000000000003E-4</v>
      </c>
      <c r="G310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11" spans="1:7" ht="15.6" x14ac:dyDescent="0.3">
      <c r="A311" s="4" t="s">
        <v>319</v>
      </c>
      <c r="B311" s="4">
        <f>IFERROR(ROUND(FemalePayGapsByOccupationalSeriesAndRacialEthnicGroup[[#This Row],[White Female Occ Dist]]*FemalePayGapsByOccupationalSeriesAndRacialEthnicGroup[[#This Row],[White Female % White Male Avg Salary]],7),"")</f>
        <v>5.0955000000000002E-3</v>
      </c>
      <c r="C311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11">
        <f>IFERROR(ROUND(FemalePayGapsByOccupationalSeriesAndRacialEthnicGroup[[#This Row],[ANHPI Female Occ Dist]]*FemalePayGapsByOccupationalSeriesAndRacialEthnicGroup[[#This Row],[ANHPI Female % White Male Avg Salary]],7),"")</f>
        <v>1.9104E-3</v>
      </c>
      <c r="E311">
        <f>IFERROR(ROUND(FemalePayGapsByOccupationalSeriesAndRacialEthnicGroup[[#This Row],[Black Female Occ Dist]]*FemalePayGapsByOccupationalSeriesAndRacialEthnicGroup[[#This Row],[Black Female % White Male Avg Salary]],7),"")</f>
        <v>1.3914999999999999E-3</v>
      </c>
      <c r="F311">
        <f>IFERROR(ROUND(FemalePayGapsByOccupationalSeriesAndRacialEthnicGroup[[#This Row],[Hispanic - Latino Female Occ Dist]]*FemalePayGapsByOccupationalSeriesAndRacialEthnicGroup[[#This Row],[Hispanic Latino % White Female Avg Salary]],7),"")</f>
        <v>3.7721999999999999E-3</v>
      </c>
      <c r="G311">
        <f>IFERROR(ROUND(FemalePayGapsByOccupationalSeriesAndRacialEthnicGroup[[#This Row],[Other Female Occ Dist]]*FemalePayGapsByOccupationalSeriesAndRacialEthnicGroup[[#This Row],[Other Female % White Male Salary]],7),"")</f>
        <v>5.4847999999999997E-3</v>
      </c>
    </row>
    <row r="312" spans="1:7" ht="15.6" x14ac:dyDescent="0.3">
      <c r="A312" s="4" t="s">
        <v>320</v>
      </c>
      <c r="B312" s="4">
        <f>IFERROR(ROUND(FemalePayGapsByOccupationalSeriesAndRacialEthnicGroup[[#This Row],[White Female Occ Dist]]*FemalePayGapsByOccupationalSeriesAndRacialEthnicGroup[[#This Row],[White Female % White Male Avg Salary]],7),"")</f>
        <v>5.77E-5</v>
      </c>
      <c r="C312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12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12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12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12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13" spans="1:7" ht="15.6" x14ac:dyDescent="0.3">
      <c r="A313" s="4" t="s">
        <v>321</v>
      </c>
      <c r="B313" s="4">
        <f>IFERROR(ROUND(FemalePayGapsByOccupationalSeriesAndRacialEthnicGroup[[#This Row],[White Female Occ Dist]]*FemalePayGapsByOccupationalSeriesAndRacialEthnicGroup[[#This Row],[White Female % White Male Avg Salary]],7),"")</f>
        <v>1.4420000000000001E-4</v>
      </c>
      <c r="C313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13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13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13">
        <f>IFERROR(ROUND(FemalePayGapsByOccupationalSeriesAndRacialEthnicGroup[[#This Row],[Hispanic - Latino Female Occ Dist]]*FemalePayGapsByOccupationalSeriesAndRacialEthnicGroup[[#This Row],[Hispanic Latino % White Female Avg Salary]],7),"")</f>
        <v>7.7000000000000008E-6</v>
      </c>
      <c r="G313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14" spans="1:7" ht="15.6" x14ac:dyDescent="0.3">
      <c r="A314" s="4" t="s">
        <v>322</v>
      </c>
      <c r="B314" s="4">
        <f>IFERROR(ROUND(FemalePayGapsByOccupationalSeriesAndRacialEthnicGroup[[#This Row],[White Female Occ Dist]]*FemalePayGapsByOccupationalSeriesAndRacialEthnicGroup[[#This Row],[White Female % White Male Avg Salary]],7),"")</f>
        <v>4.0599999999999998E-5</v>
      </c>
      <c r="C314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14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14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14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14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15" spans="1:7" ht="15.6" x14ac:dyDescent="0.3">
      <c r="A315" s="4" t="s">
        <v>323</v>
      </c>
      <c r="B315" s="4">
        <f>IFERROR(ROUND(FemalePayGapsByOccupationalSeriesAndRacialEthnicGroup[[#This Row],[White Female Occ Dist]]*FemalePayGapsByOccupationalSeriesAndRacialEthnicGroup[[#This Row],[White Female % White Male Avg Salary]],7),"")</f>
        <v>2.3479999999999999E-4</v>
      </c>
      <c r="C315" t="str">
        <f>IFERROR(ROUND(FemalePayGapsByOccupationalSeriesAndRacialEthnicGroup[[#This Row],[AIAN Female Occ Dist]]*FemalePayGapsByOccupationalSeriesAndRacialEthnicGroup[[#This Row],[AIAN Female % White Male Avg Salary]],7),"")</f>
        <v/>
      </c>
      <c r="D315" t="str">
        <f>IFERROR(ROUND(FemalePayGapsByOccupationalSeriesAndRacialEthnicGroup[[#This Row],[ANHPI Female Occ Dist]]*FemalePayGapsByOccupationalSeriesAndRacialEthnicGroup[[#This Row],[ANHPI Female % White Male Avg Salary]],7),"")</f>
        <v/>
      </c>
      <c r="E315" t="str">
        <f>IFERROR(ROUND(FemalePayGapsByOccupationalSeriesAndRacialEthnicGroup[[#This Row],[Black Female Occ Dist]]*FemalePayGapsByOccupationalSeriesAndRacialEthnicGroup[[#This Row],[Black Female % White Male Avg Salary]],7),"")</f>
        <v/>
      </c>
      <c r="F315" t="str">
        <f>IFERROR(ROUND(FemalePayGapsByOccupationalSeriesAndRacialEthnicGroup[[#This Row],[Hispanic - Latino Female Occ Dist]]*FemalePayGapsByOccupationalSeriesAndRacialEthnicGroup[[#This Row],[Hispanic Latino % White Female Avg Salary]],7),"")</f>
        <v/>
      </c>
      <c r="G315" t="str">
        <f>IFERROR(ROUND(FemalePayGapsByOccupationalSeriesAndRacialEthnicGroup[[#This Row],[Other Female Occ Dist]]*FemalePayGapsByOccupationalSeriesAndRacialEthnicGroup[[#This Row],[Other Female % White Male Salary]],7),"")</f>
        <v/>
      </c>
    </row>
    <row r="316" spans="1:7" ht="15.6" x14ac:dyDescent="0.3">
      <c r="A316" s="4" t="s">
        <v>324</v>
      </c>
      <c r="B316" s="4">
        <f>IFERROR(ROUND(FemalePayGapsByOccupationalSeriesAndRacialEthnicGroup[[#This Row],[White Female Occ Dist]]*FemalePayGapsByOccupationalSeriesAndRacialEthnicGroup[[#This Row],[White Female % White Male Avg Salary]],7),"")</f>
        <v>2.5516199999999999E-2</v>
      </c>
      <c r="C316">
        <f>IFERROR(ROUND(FemalePayGapsByOccupationalSeriesAndRacialEthnicGroup[[#This Row],[AIAN Female Occ Dist]]*FemalePayGapsByOccupationalSeriesAndRacialEthnicGroup[[#This Row],[AIAN Female % White Male Avg Salary]],7),"")</f>
        <v>1.359E-2</v>
      </c>
      <c r="D316">
        <f>IFERROR(ROUND(FemalePayGapsByOccupationalSeriesAndRacialEthnicGroup[[#This Row],[ANHPI Female Occ Dist]]*FemalePayGapsByOccupationalSeriesAndRacialEthnicGroup[[#This Row],[ANHPI Female % White Male Avg Salary]],7),"")</f>
        <v>5.1650300000000003E-2</v>
      </c>
      <c r="E316">
        <f>IFERROR(ROUND(FemalePayGapsByOccupationalSeriesAndRacialEthnicGroup[[#This Row],[Black Female Occ Dist]]*FemalePayGapsByOccupationalSeriesAndRacialEthnicGroup[[#This Row],[Black Female % White Male Avg Salary]],7),"")</f>
        <v>3.07576E-2</v>
      </c>
      <c r="F316">
        <f>IFERROR(ROUND(FemalePayGapsByOccupationalSeriesAndRacialEthnicGroup[[#This Row],[Hispanic - Latino Female Occ Dist]]*FemalePayGapsByOccupationalSeriesAndRacialEthnicGroup[[#This Row],[Hispanic Latino % White Female Avg Salary]],7),"")</f>
        <v>1.6731300000000001E-2</v>
      </c>
      <c r="G316">
        <f>IFERROR(ROUND(FemalePayGapsByOccupationalSeriesAndRacialEthnicGroup[[#This Row],[Other Female Occ Dist]]*FemalePayGapsByOccupationalSeriesAndRacialEthnicGroup[[#This Row],[Other Female % White Male Salary]],7),"")</f>
        <v>3.48908E-2</v>
      </c>
    </row>
    <row r="317" spans="1:7" ht="15.6" x14ac:dyDescent="0.3">
      <c r="A317" s="4" t="s">
        <v>7</v>
      </c>
      <c r="B317" s="4">
        <f>IFERROR(ROUND(FemalePayGapsByOccupationalSeriesAndRacialEthnicGroup[[#This Row],[White Female Occ Dist]]*FemalePayGapsByOccupationalSeriesAndRacialEthnicGroup[[#This Row],[White Female % White Male Avg Salary]],7),"")</f>
        <v>2.5189000000000001E-3</v>
      </c>
      <c r="C317">
        <f>IFERROR(ROUND(FemalePayGapsByOccupationalSeriesAndRacialEthnicGroup[[#This Row],[AIAN Female Occ Dist]]*FemalePayGapsByOccupationalSeriesAndRacialEthnicGroup[[#This Row],[AIAN Female % White Male Avg Salary]],7),"")</f>
        <v>0.1373375</v>
      </c>
      <c r="D317">
        <f>IFERROR(ROUND(FemalePayGapsByOccupationalSeriesAndRacialEthnicGroup[[#This Row],[ANHPI Female Occ Dist]]*FemalePayGapsByOccupationalSeriesAndRacialEthnicGroup[[#This Row],[ANHPI Female % White Male Avg Salary]],7),"")</f>
        <v>4.5169500000000001E-2</v>
      </c>
      <c r="E317">
        <f>IFERROR(ROUND(FemalePayGapsByOccupationalSeriesAndRacialEthnicGroup[[#This Row],[Black Female Occ Dist]]*FemalePayGapsByOccupationalSeriesAndRacialEthnicGroup[[#This Row],[Black Female % White Male Avg Salary]],7),"")</f>
        <v>1.11086E-2</v>
      </c>
      <c r="F317">
        <f>IFERROR(ROUND(FemalePayGapsByOccupationalSeriesAndRacialEthnicGroup[[#This Row],[Hispanic - Latino Female Occ Dist]]*FemalePayGapsByOccupationalSeriesAndRacialEthnicGroup[[#This Row],[Hispanic Latino % White Female Avg Salary]],7),"")</f>
        <v>3.3663499999999999E-2</v>
      </c>
      <c r="G317">
        <f>IFERROR(ROUND(FemalePayGapsByOccupationalSeriesAndRacialEthnicGroup[[#This Row],[Other Female Occ Dist]]*FemalePayGapsByOccupationalSeriesAndRacialEthnicGroup[[#This Row],[Other Female % White Male Salary]],7),"")</f>
        <v>0.13839290000000001</v>
      </c>
    </row>
    <row r="318" spans="1:7" ht="15.6" x14ac:dyDescent="0.3">
      <c r="A318" s="4" t="s">
        <v>8</v>
      </c>
      <c r="B318">
        <f>SUM(B4:B317)</f>
        <v>0.97471340000000084</v>
      </c>
      <c r="C318">
        <f>SUM(C4:C317)</f>
        <v>0.91886709999999994</v>
      </c>
      <c r="D318">
        <f t="shared" ref="D318:G318" si="0">SUM(D4:D317)</f>
        <v>1.0220812999999997</v>
      </c>
      <c r="E318">
        <f t="shared" si="0"/>
        <v>0.98941190000000012</v>
      </c>
      <c r="F318">
        <f t="shared" si="0"/>
        <v>0.94923119999999994</v>
      </c>
      <c r="G318">
        <f t="shared" si="0"/>
        <v>0.92563070000000014</v>
      </c>
    </row>
  </sheetData>
  <sheetProtection algorithmName="SHA-512" hashValue="VDTrAQG7w/Kx6nAonKU3Jft9DZe81mMc2DOjc2t+yRnHyT8IzWlRQViD1DrrXRtQAJZUKBzvwyzJYPYZCS7dDQ==" saltValue="zeOk+EPWvcWOSXnBNX/S/w==" spinCount="100000" sheet="1" objects="1" scenarios="1" sort="0" autoFilter="0"/>
  <pageMargins left="0.7" right="0.7" top="0.75" bottom="0.75" header="0.3" footer="0.3"/>
  <pageSetup scale="70" orientation="landscape" r:id="rId1"/>
  <rowBreaks count="1" manualBreakCount="1">
    <brk id="277" max="6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58FED-A3AD-48EE-AAD5-C7E3F180143A}">
  <dimension ref="A1:H16"/>
  <sheetViews>
    <sheetView tabSelected="1" zoomScaleNormal="100" workbookViewId="0">
      <selection activeCell="D14" sqref="D14"/>
    </sheetView>
  </sheetViews>
  <sheetFormatPr defaultRowHeight="14.4" x14ac:dyDescent="0.3"/>
  <cols>
    <col min="1" max="1" width="22.6640625" customWidth="1"/>
    <col min="2" max="6" width="13.33203125" customWidth="1"/>
    <col min="7" max="8" width="13.109375" customWidth="1"/>
  </cols>
  <sheetData>
    <row r="1" spans="1:8" ht="21" x14ac:dyDescent="0.4">
      <c r="A1" s="83" t="s">
        <v>384</v>
      </c>
    </row>
    <row r="2" spans="1:8" ht="18" x14ac:dyDescent="0.35">
      <c r="A2" s="82" t="s">
        <v>383</v>
      </c>
    </row>
    <row r="3" spans="1:8" ht="86.4" x14ac:dyDescent="0.3">
      <c r="A3" s="79" t="s">
        <v>374</v>
      </c>
      <c r="B3" s="79" t="s">
        <v>375</v>
      </c>
      <c r="C3" s="79" t="s">
        <v>378</v>
      </c>
      <c r="D3" s="79" t="s">
        <v>376</v>
      </c>
      <c r="E3" s="79" t="s">
        <v>379</v>
      </c>
      <c r="F3" s="79" t="s">
        <v>380</v>
      </c>
      <c r="G3" s="79" t="s">
        <v>381</v>
      </c>
      <c r="H3" s="79" t="s">
        <v>377</v>
      </c>
    </row>
    <row r="4" spans="1:8" x14ac:dyDescent="0.3">
      <c r="A4" s="75" t="s">
        <v>1</v>
      </c>
      <c r="B4" s="74">
        <f>COUNTIF(PayGapsForMalesInRacialEthnicGroupsByOccupationalSeries[AIAN Male % White Male Avg Salary],"&gt;=1.00")</f>
        <v>8</v>
      </c>
      <c r="C4" s="76">
        <f t="shared" ref="C4:C14" si="0">B4/H4</f>
        <v>0.14285714285714285</v>
      </c>
      <c r="D4" s="74">
        <f>COUNTIFS(PayGapsForMalesInRacialEthnicGroupsByOccupationalSeries[AIAN Male % White Male Avg Salary],"&gt;=.95",PayGapsForMalesInRacialEthnicGroupsByOccupationalSeries[AIAN Male % White Male Avg Salary],"&lt;1.00")</f>
        <v>18</v>
      </c>
      <c r="E4" s="76">
        <f t="shared" ref="E4:E14" si="1">D4/H4</f>
        <v>0.32142857142857145</v>
      </c>
      <c r="F4" s="80">
        <f>COUNTIF(PayGapsForMalesInRacialEthnicGroupsByOccupationalSeries[AIAN Male % White Male Avg Salary],"&lt;.95")</f>
        <v>30</v>
      </c>
      <c r="G4" s="76">
        <f>SalaryPercentageSummary[[#This Row],[Number of Occupations with a Salary Percentage &lt;95%]]/SalaryPercentageSummary[[#This Row],[Total Number of Occupations]]</f>
        <v>0.5357142857142857</v>
      </c>
      <c r="H4" s="74">
        <f>COUNTIF(PayGapsForMalesInRacialEthnicGroupsByOccupationalSeries[AIAN Male % White Male Avg Salary],"&gt;0")</f>
        <v>56</v>
      </c>
    </row>
    <row r="5" spans="1:8" x14ac:dyDescent="0.3">
      <c r="A5" s="77" t="s">
        <v>2</v>
      </c>
      <c r="B5" s="74">
        <f>COUNTIF(PayGapsForMalesInRacialEthnicGroupsByOccupationalSeries[ANHPI Male % White Male Avg Salary],"&gt;=1.00")</f>
        <v>71</v>
      </c>
      <c r="C5" s="76">
        <f t="shared" si="0"/>
        <v>0.51079136690647486</v>
      </c>
      <c r="D5" s="74">
        <f>COUNTIFS(PayGapsForMalesInRacialEthnicGroupsByOccupationalSeries[ANHPI Male % White Male Avg Salary],"&gt;=.95",PayGapsForMalesInRacialEthnicGroupsByOccupationalSeries[ANHPI Male % White Male Avg Salary],"&lt;=.999")</f>
        <v>49</v>
      </c>
      <c r="E5" s="76">
        <f t="shared" si="1"/>
        <v>0.35251798561151076</v>
      </c>
      <c r="F5" s="74">
        <f>COUNTIF(PayGapsForMalesInRacialEthnicGroupsByOccupationalSeries[ANHPI Male % White Male Avg Salary],"&lt;.95")</f>
        <v>19</v>
      </c>
      <c r="G5" s="76">
        <f>SalaryPercentageSummary[[#This Row],[Number of Occupations with a Salary Percentage &lt;95%]]/SalaryPercentageSummary[[#This Row],[Total Number of Occupations]]</f>
        <v>0.1366906474820144</v>
      </c>
      <c r="H5" s="74">
        <f>COUNTIF(PayGapsForMalesInRacialEthnicGroupsByOccupationalSeries[ANHPI Male % White Male Avg Salary],"&gt;0")</f>
        <v>139</v>
      </c>
    </row>
    <row r="6" spans="1:8" x14ac:dyDescent="0.3">
      <c r="A6" s="77" t="s">
        <v>3</v>
      </c>
      <c r="B6" s="74">
        <f>COUNTIF('Male Pay Gap by Occ'!O4:O317,"&gt;=1.00")</f>
        <v>75</v>
      </c>
      <c r="C6" s="76">
        <f t="shared" si="0"/>
        <v>0.37313432835820898</v>
      </c>
      <c r="D6" s="74">
        <f>COUNTIFS('Male Pay Gap by Occ'!O4:O317,"&gt;=.95",'Male Pay Gap by Occ'!O4:O317,"&lt;1.00")</f>
        <v>84</v>
      </c>
      <c r="E6" s="76">
        <f t="shared" si="1"/>
        <v>0.41791044776119401</v>
      </c>
      <c r="F6" s="74">
        <f>COUNTIF(PayGapsForMalesInRacialEthnicGroupsByOccupationalSeries[Black Male % White Male Avg Salary],"&lt;.95")</f>
        <v>42</v>
      </c>
      <c r="G6" s="76">
        <f>SalaryPercentageSummary[[#This Row],[Number of Occupations with a Salary Percentage &lt;95%]]/SalaryPercentageSummary[[#This Row],[Total Number of Occupations]]</f>
        <v>0.20895522388059701</v>
      </c>
      <c r="H6" s="74">
        <f>COUNTIF(PayGapsForMalesInRacialEthnicGroupsByOccupationalSeries[Black Male % White Male Avg Salary],"&gt;0")</f>
        <v>201</v>
      </c>
    </row>
    <row r="7" spans="1:8" x14ac:dyDescent="0.3">
      <c r="A7" s="77" t="s">
        <v>4</v>
      </c>
      <c r="B7" s="74">
        <f>COUNTIF(PayGapsForMalesInRacialEthnicGroupsByOccupationalSeries[Hispanic Latino % White Male Avg Salary],"&gt;=1.00")</f>
        <v>29</v>
      </c>
      <c r="C7" s="76">
        <f t="shared" si="0"/>
        <v>0.18124999999999999</v>
      </c>
      <c r="D7" s="74">
        <f>COUNTIFS('Male Pay Gap by Occ'!S4:S317,"&gt;=.95",'Male Pay Gap by Occ'!S4:S317,"&lt;1.00")</f>
        <v>73</v>
      </c>
      <c r="E7" s="76">
        <f t="shared" si="1"/>
        <v>0.45624999999999999</v>
      </c>
      <c r="F7" s="74">
        <f>COUNTIF(PayGapsForMalesInRacialEthnicGroupsByOccupationalSeries[Hispanic Latino % White Male Avg Salary],"&lt;.95")</f>
        <v>58</v>
      </c>
      <c r="G7" s="76">
        <f>SalaryPercentageSummary[[#This Row],[Number of Occupations with a Salary Percentage &lt;95%]]/SalaryPercentageSummary[[#This Row],[Total Number of Occupations]]</f>
        <v>0.36249999999999999</v>
      </c>
      <c r="H7" s="74">
        <f>COUNTIF(PayGapsForMalesInRacialEthnicGroupsByOccupationalSeries[Hispanic Latino % White Male Avg Salary],"&gt;0")</f>
        <v>160</v>
      </c>
    </row>
    <row r="8" spans="1:8" x14ac:dyDescent="0.3">
      <c r="A8" s="78" t="s">
        <v>5</v>
      </c>
      <c r="B8" s="74">
        <f>COUNTIF(PayGapsForMalesInRacialEthnicGroupsByOccupationalSeries[Other Male % White Male Salary],"&gt;=1.00")</f>
        <v>12</v>
      </c>
      <c r="C8" s="76">
        <f t="shared" si="0"/>
        <v>0.14117647058823529</v>
      </c>
      <c r="D8" s="74">
        <f>COUNTIFS(PayGapsForMalesInRacialEthnicGroupsByOccupationalSeries[Other Male % White Male Salary],"&gt;=.95",PayGapsForMalesInRacialEthnicGroupsByOccupationalSeries[Other Male % White Male Salary],"&lt;=.999")</f>
        <v>37</v>
      </c>
      <c r="E8" s="76">
        <f t="shared" si="1"/>
        <v>0.43529411764705883</v>
      </c>
      <c r="F8" s="74">
        <f>COUNTIF(PayGapsForMalesInRacialEthnicGroupsByOccupationalSeries[Other Male % White Male Salary],"&lt;.95")</f>
        <v>36</v>
      </c>
      <c r="G8" s="76">
        <f>SalaryPercentageSummary[[#This Row],[Number of Occupations with a Salary Percentage &lt;95%]]/SalaryPercentageSummary[[#This Row],[Total Number of Occupations]]</f>
        <v>0.42352941176470588</v>
      </c>
      <c r="H8" s="74">
        <f>COUNTIF(PayGapsForMalesInRacialEthnicGroupsByOccupationalSeries[Other Male % White Male Salary],"&gt;0")</f>
        <v>85</v>
      </c>
    </row>
    <row r="9" spans="1:8" x14ac:dyDescent="0.3">
      <c r="A9" s="77" t="s">
        <v>9</v>
      </c>
      <c r="B9" s="74">
        <f>COUNTIF('Female Pay Gap by Occ'!G4:G317,"&gt;=1.00")</f>
        <v>78</v>
      </c>
      <c r="C9" s="76">
        <f t="shared" si="0"/>
        <v>0.24840764331210191</v>
      </c>
      <c r="D9" s="74">
        <f>COUNTIFS('Female Pay Gap by Occ'!G4:G317,"&gt;=.95",'Female Pay Gap by Occ'!G4:G317,"&lt;1.00")</f>
        <v>141</v>
      </c>
      <c r="E9" s="76">
        <f t="shared" si="1"/>
        <v>0.44904458598726116</v>
      </c>
      <c r="F9" s="74">
        <f>COUNTIF('Female Pay Gap by Occ'!G4:G317,"&lt;.95")</f>
        <v>95</v>
      </c>
      <c r="G9" s="76">
        <f>SalaryPercentageSummary[[#This Row],[Number of Occupations with a Salary Percentage &lt;95%]]/SalaryPercentageSummary[[#This Row],[Total Number of Occupations]]</f>
        <v>0.30254777070063693</v>
      </c>
      <c r="H9" s="74">
        <f>COUNTIF('Female Pay Gap by Occ'!G4:G317,"&gt;0")</f>
        <v>314</v>
      </c>
    </row>
    <row r="10" spans="1:8" x14ac:dyDescent="0.3">
      <c r="A10" s="77" t="s">
        <v>10</v>
      </c>
      <c r="B10" s="74">
        <f>COUNTIF(FemalePayGapsByOccupationalSeriesAndRacialEthnicGroup[AIAN Female % White Male Avg Salary],"&gt;=1.00")</f>
        <v>4</v>
      </c>
      <c r="C10" s="76">
        <f t="shared" si="0"/>
        <v>7.1428571428571425E-2</v>
      </c>
      <c r="D10" s="74">
        <f>COUNTIFS(FemalePayGapsByOccupationalSeriesAndRacialEthnicGroup[AIAN Female % White Male Avg Salary],"&gt;=.95",FemalePayGapsByOccupationalSeriesAndRacialEthnicGroup[AIAN Female % White Male Avg Salary],"&lt;=.999")</f>
        <v>17</v>
      </c>
      <c r="E10" s="76">
        <f t="shared" si="1"/>
        <v>0.30357142857142855</v>
      </c>
      <c r="F10" s="74">
        <f>COUNTIF(FemalePayGapsByOccupationalSeriesAndRacialEthnicGroup[AIAN Female % White Male Avg Salary],"&lt;.95")</f>
        <v>35</v>
      </c>
      <c r="G10" s="76">
        <f>SalaryPercentageSummary[[#This Row],[Number of Occupations with a Salary Percentage &lt;95%]]/SalaryPercentageSummary[[#This Row],[Total Number of Occupations]]</f>
        <v>0.625</v>
      </c>
      <c r="H10" s="74">
        <f>COUNTIF(FemalePayGapsByOccupationalSeriesAndRacialEthnicGroup[AIAN Female % White Male Avg Salary],"&gt;0")</f>
        <v>56</v>
      </c>
    </row>
    <row r="11" spans="1:8" x14ac:dyDescent="0.3">
      <c r="A11" s="77" t="s">
        <v>11</v>
      </c>
      <c r="B11" s="74">
        <f>COUNTIF(FemalePayGapsByOccupationalSeriesAndRacialEthnicGroup[ANHPI Female % White Male Avg Salary],"&gt;=1.00")</f>
        <v>59</v>
      </c>
      <c r="C11" s="76">
        <f t="shared" si="0"/>
        <v>0.42446043165467628</v>
      </c>
      <c r="D11" s="74">
        <f>COUNTIFS('Female Pay Gap by Occ'!O4:O317,"&gt;=.95",'Female Pay Gap by Occ'!O4:O317,"&lt;1.00")</f>
        <v>47</v>
      </c>
      <c r="E11" s="76">
        <f t="shared" si="1"/>
        <v>0.33812949640287771</v>
      </c>
      <c r="F11" s="74">
        <f>COUNTIF(FemalePayGapsByOccupationalSeriesAndRacialEthnicGroup[ANHPI Female % White Male Avg Salary],"&lt;.95")</f>
        <v>33</v>
      </c>
      <c r="G11" s="76">
        <f>SalaryPercentageSummary[[#This Row],[Number of Occupations with a Salary Percentage &lt;95%]]/SalaryPercentageSummary[[#This Row],[Total Number of Occupations]]</f>
        <v>0.23741007194244604</v>
      </c>
      <c r="H11" s="74">
        <f>COUNTIF(FemalePayGapsByOccupationalSeriesAndRacialEthnicGroup[ANHPI Female % White Male Avg Salary],"&gt;0")</f>
        <v>139</v>
      </c>
    </row>
    <row r="12" spans="1:8" x14ac:dyDescent="0.3">
      <c r="A12" s="77" t="s">
        <v>12</v>
      </c>
      <c r="B12" s="74">
        <f>COUNTIF(FemalePayGapsByOccupationalSeriesAndRacialEthnicGroup[Black Female % White Male Avg Salary],"&gt;=1.00")</f>
        <v>77</v>
      </c>
      <c r="C12" s="76">
        <f t="shared" si="0"/>
        <v>0.38308457711442784</v>
      </c>
      <c r="D12" s="74">
        <f>COUNTIFS('Female Pay Gap by Occ'!S4:S317,"&gt;=.95",'Female Pay Gap by Occ'!S4:S317,"&lt;1.00")</f>
        <v>67</v>
      </c>
      <c r="E12" s="76">
        <f t="shared" si="1"/>
        <v>0.33333333333333331</v>
      </c>
      <c r="F12" s="74">
        <f>COUNTIF(FemalePayGapsByOccupationalSeriesAndRacialEthnicGroup[Black Female % White Male Avg Salary],"&lt;.95")</f>
        <v>57</v>
      </c>
      <c r="G12" s="76">
        <f>SalaryPercentageSummary[[#This Row],[Number of Occupations with a Salary Percentage &lt;95%]]/SalaryPercentageSummary[[#This Row],[Total Number of Occupations]]</f>
        <v>0.28358208955223879</v>
      </c>
      <c r="H12" s="74">
        <f>COUNTIF(FemalePayGapsByOccupationalSeriesAndRacialEthnicGroup[Black Female % White Male Avg Salary],"&gt;0")</f>
        <v>201</v>
      </c>
    </row>
    <row r="13" spans="1:8" x14ac:dyDescent="0.3">
      <c r="A13" s="77" t="s">
        <v>13</v>
      </c>
      <c r="B13" s="74">
        <f>COUNTIF(FemalePayGapsByOccupationalSeriesAndRacialEthnicGroup[Hispanic Latino % White Female Avg Salary],"&gt;=1.00")</f>
        <v>28</v>
      </c>
      <c r="C13" s="76">
        <f t="shared" si="0"/>
        <v>0.17499999999999999</v>
      </c>
      <c r="D13" s="74">
        <f>COUNTIFS('Female Pay Gap by Occ'!W4:W317,"&gt;=.95",'Female Pay Gap by Occ'!W4:W317,"&lt;1.00")</f>
        <v>60</v>
      </c>
      <c r="E13" s="76">
        <f t="shared" si="1"/>
        <v>0.375</v>
      </c>
      <c r="F13" s="74">
        <f>COUNTIF(FemalePayGapsByOccupationalSeriesAndRacialEthnicGroup[Hispanic Latino % White Female Avg Salary],"&lt;.95")</f>
        <v>72</v>
      </c>
      <c r="G13" s="76">
        <f>SalaryPercentageSummary[[#This Row],[Number of Occupations with a Salary Percentage &lt;95%]]/SalaryPercentageSummary[[#This Row],[Total Number of Occupations]]</f>
        <v>0.45</v>
      </c>
      <c r="H13" s="74">
        <f>COUNTIF(FemalePayGapsByOccupationalSeriesAndRacialEthnicGroup[Hispanic Latino % White Female Avg Salary],"&gt;0")</f>
        <v>160</v>
      </c>
    </row>
    <row r="14" spans="1:8" x14ac:dyDescent="0.3">
      <c r="A14" s="78" t="s">
        <v>14</v>
      </c>
      <c r="B14" s="74">
        <f>COUNTIF(FemalePayGapsByOccupationalSeriesAndRacialEthnicGroup[Other Female % White Male Salary],"&gt;=1.00")</f>
        <v>6</v>
      </c>
      <c r="C14" s="76">
        <f t="shared" si="0"/>
        <v>7.0588235294117646E-2</v>
      </c>
      <c r="D14" s="74">
        <f>COUNTIFS(FemalePayGapsByOccupationalSeriesAndRacialEthnicGroup[Other Female % White Male Salary],"&gt;=.95",FemalePayGapsByOccupationalSeriesAndRacialEthnicGroup[Other Female % White Male Salary],"&lt;=.999")</f>
        <v>27</v>
      </c>
      <c r="E14" s="76">
        <f t="shared" si="1"/>
        <v>0.31764705882352939</v>
      </c>
      <c r="F14" s="74">
        <f>COUNTIF(FemalePayGapsByOccupationalSeriesAndRacialEthnicGroup[Other Female % White Male Salary],"&lt;.95")</f>
        <v>52</v>
      </c>
      <c r="G14" s="76">
        <f>SalaryPercentageSummary[[#This Row],[Number of Occupations with a Salary Percentage &lt;95%]]/SalaryPercentageSummary[[#This Row],[Total Number of Occupations]]</f>
        <v>0.61176470588235299</v>
      </c>
      <c r="H14" s="74">
        <f>COUNTIF(FemalePayGapsByOccupationalSeriesAndRacialEthnicGroup[Other Female % White Male Salary],"&gt;0")</f>
        <v>85</v>
      </c>
    </row>
    <row r="16" spans="1:8" x14ac:dyDescent="0.3">
      <c r="A16" t="s">
        <v>382</v>
      </c>
    </row>
  </sheetData>
  <sheetProtection algorithmName="SHA-512" hashValue="KFqbIi7jk7zBraQufCOAPsuoTrE2QOS+8iptJQpsTJ1hfjlnyRoVwf9NAMNRLAksPlRBZQJnWEZmCzcofa6xJQ==" saltValue="7Zc8SjLrwd5BkbcFtm5u4A==" spinCount="100000" sheet="1" objects="1" scenarios="1" sort="0" autoFilter="0"/>
  <pageMargins left="0.7" right="0.7" top="0.75" bottom="0.75" header="0.3" footer="0.3"/>
  <pageSetup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Male Pay Gap by Occ</vt:lpstr>
      <vt:lpstr>Male Pop Avg by Occ</vt:lpstr>
      <vt:lpstr>Female Pay Gap by Occ</vt:lpstr>
      <vt:lpstr>Female Pop Avg by Occ</vt:lpstr>
      <vt:lpstr>Salary Percentage Summary</vt:lpstr>
      <vt:lpstr>'Female Pay Gap by Occ'!Print_Titles</vt:lpstr>
      <vt:lpstr>'Female Pop Avg by Occ'!Print_Titles</vt:lpstr>
      <vt:lpstr>'Male Pay Gap by Occ'!Print_Titles</vt:lpstr>
      <vt:lpstr>'Male Pop Avg by Occ'!Print_Titles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Carey P</dc:creator>
  <cp:lastModifiedBy>Ngo, Tristian L. (CTR)</cp:lastModifiedBy>
  <cp:lastPrinted>2023-08-29T19:19:04Z</cp:lastPrinted>
  <dcterms:created xsi:type="dcterms:W3CDTF">2022-10-13T12:51:47Z</dcterms:created>
  <dcterms:modified xsi:type="dcterms:W3CDTF">2024-07-05T18:15:57Z</dcterms:modified>
</cp:coreProperties>
</file>