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CRRMCITLN\Downloads\"/>
    </mc:Choice>
  </mc:AlternateContent>
  <xr:revisionPtr revIDLastSave="0" documentId="13_ncr:1_{068EFC6C-BDB7-4903-A5AE-0E46276BCE46}" xr6:coauthVersionLast="47" xr6:coauthVersionMax="47" xr10:uidLastSave="{00000000-0000-0000-0000-000000000000}"/>
  <bookViews>
    <workbookView xWindow="-108" yWindow="-108" windowWidth="23256" windowHeight="12456" activeTab="3" xr2:uid="{A8BEF2F5-7FA6-426E-AF8D-55AAC82D08EB}"/>
  </bookViews>
  <sheets>
    <sheet name="Age" sheetId="2" r:id="rId1"/>
    <sheet name="Agency" sheetId="3" r:id="rId2"/>
    <sheet name="GS Grade" sheetId="4" r:id="rId3"/>
    <sheet name="Race or Ethnicity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D10" i="2"/>
  <c r="C9" i="2"/>
  <c r="C8" i="2"/>
  <c r="C7" i="2"/>
  <c r="C5" i="2"/>
  <c r="C6" i="2"/>
  <c r="C4" i="2"/>
  <c r="B10" i="2"/>
  <c r="F10" i="2"/>
  <c r="G9" i="5"/>
  <c r="K7" i="5"/>
  <c r="K5" i="5"/>
  <c r="J6" i="5"/>
  <c r="K6" i="5" s="1"/>
  <c r="J7" i="5"/>
  <c r="J8" i="5"/>
  <c r="K8" i="5" s="1"/>
  <c r="J9" i="5"/>
  <c r="K9" i="5" s="1"/>
  <c r="J10" i="5"/>
  <c r="K10" i="5" s="1"/>
  <c r="J5" i="5"/>
  <c r="B6" i="5"/>
  <c r="G6" i="5" s="1"/>
  <c r="B7" i="5"/>
  <c r="C7" i="5" s="1"/>
  <c r="B8" i="5"/>
  <c r="F8" i="5" s="1"/>
  <c r="B9" i="5"/>
  <c r="F9" i="5" s="1"/>
  <c r="B10" i="5"/>
  <c r="G10" i="5" s="1"/>
  <c r="B5" i="5"/>
  <c r="G5" i="5" s="1"/>
  <c r="G5" i="4"/>
  <c r="G9" i="4"/>
  <c r="G13" i="4"/>
  <c r="G4" i="4"/>
  <c r="C8" i="4"/>
  <c r="C12" i="4"/>
  <c r="C16" i="4"/>
  <c r="K5" i="4"/>
  <c r="K9" i="4"/>
  <c r="K10" i="4"/>
  <c r="K13" i="4"/>
  <c r="K14" i="4"/>
  <c r="K4" i="4"/>
  <c r="J5" i="4"/>
  <c r="J6" i="4"/>
  <c r="K6" i="4" s="1"/>
  <c r="J7" i="4"/>
  <c r="K7" i="4" s="1"/>
  <c r="J8" i="4"/>
  <c r="K8" i="4" s="1"/>
  <c r="J9" i="4"/>
  <c r="J10" i="4"/>
  <c r="J11" i="4"/>
  <c r="K11" i="4" s="1"/>
  <c r="J12" i="4"/>
  <c r="K12" i="4" s="1"/>
  <c r="J13" i="4"/>
  <c r="J14" i="4"/>
  <c r="J15" i="4"/>
  <c r="K15" i="4" s="1"/>
  <c r="J16" i="4"/>
  <c r="K16" i="4" s="1"/>
  <c r="J4" i="4"/>
  <c r="B5" i="4"/>
  <c r="F5" i="4" s="1"/>
  <c r="B6" i="4"/>
  <c r="G6" i="4" s="1"/>
  <c r="B7" i="4"/>
  <c r="G7" i="4" s="1"/>
  <c r="B8" i="4"/>
  <c r="F8" i="4" s="1"/>
  <c r="B9" i="4"/>
  <c r="F9" i="4" s="1"/>
  <c r="B10" i="4"/>
  <c r="G10" i="4" s="1"/>
  <c r="B11" i="4"/>
  <c r="F11" i="4" s="1"/>
  <c r="B12" i="4"/>
  <c r="F12" i="4" s="1"/>
  <c r="B13" i="4"/>
  <c r="F13" i="4" s="1"/>
  <c r="B14" i="4"/>
  <c r="G14" i="4" s="1"/>
  <c r="B15" i="4"/>
  <c r="G15" i="4" s="1"/>
  <c r="B16" i="4"/>
  <c r="F16" i="4" s="1"/>
  <c r="B17" i="4"/>
  <c r="C5" i="4" s="1"/>
  <c r="B4" i="4"/>
  <c r="F4" i="4" s="1"/>
  <c r="G11" i="3"/>
  <c r="C11" i="3"/>
  <c r="C7" i="3"/>
  <c r="F5" i="3"/>
  <c r="F7" i="3"/>
  <c r="F9" i="3"/>
  <c r="F11" i="3"/>
  <c r="F4" i="3"/>
  <c r="K6" i="3"/>
  <c r="K8" i="3"/>
  <c r="K10" i="3"/>
  <c r="K12" i="3"/>
  <c r="J5" i="3"/>
  <c r="K5" i="3" s="1"/>
  <c r="J6" i="3"/>
  <c r="J7" i="3"/>
  <c r="K7" i="3" s="1"/>
  <c r="J8" i="3"/>
  <c r="J9" i="3"/>
  <c r="K9" i="3" s="1"/>
  <c r="J10" i="3"/>
  <c r="J11" i="3"/>
  <c r="K11" i="3" s="1"/>
  <c r="J12" i="3"/>
  <c r="J4" i="3"/>
  <c r="K4" i="3" s="1"/>
  <c r="B5" i="3"/>
  <c r="G5" i="3" s="1"/>
  <c r="B6" i="3"/>
  <c r="G6" i="3" s="1"/>
  <c r="B7" i="3"/>
  <c r="G7" i="3" s="1"/>
  <c r="B8" i="3"/>
  <c r="C8" i="3" s="1"/>
  <c r="B9" i="3"/>
  <c r="G9" i="3" s="1"/>
  <c r="B10" i="3"/>
  <c r="G10" i="3" s="1"/>
  <c r="B11" i="3"/>
  <c r="B12" i="3"/>
  <c r="C12" i="3" s="1"/>
  <c r="B4" i="3"/>
  <c r="G4" i="3" s="1"/>
  <c r="G7" i="2"/>
  <c r="K5" i="2"/>
  <c r="K9" i="2"/>
  <c r="J5" i="2"/>
  <c r="J6" i="2"/>
  <c r="K6" i="2" s="1"/>
  <c r="J7" i="2"/>
  <c r="K7" i="2" s="1"/>
  <c r="J8" i="2"/>
  <c r="K8" i="2" s="1"/>
  <c r="J9" i="2"/>
  <c r="J4" i="2"/>
  <c r="K4" i="2" s="1"/>
  <c r="B5" i="2"/>
  <c r="B6" i="2"/>
  <c r="F6" i="2" s="1"/>
  <c r="B7" i="2"/>
  <c r="F7" i="2" s="1"/>
  <c r="B8" i="2"/>
  <c r="G8" i="2" s="1"/>
  <c r="B9" i="2"/>
  <c r="G9" i="2" s="1"/>
  <c r="B4" i="2"/>
  <c r="F4" i="2" s="1"/>
  <c r="C10" i="2" l="1"/>
  <c r="F5" i="2"/>
  <c r="F8" i="2"/>
  <c r="G4" i="2"/>
  <c r="G6" i="2"/>
  <c r="F9" i="2"/>
  <c r="G5" i="2"/>
  <c r="F7" i="5"/>
  <c r="C8" i="5"/>
  <c r="F10" i="5"/>
  <c r="F6" i="5"/>
  <c r="G8" i="5"/>
  <c r="F5" i="5"/>
  <c r="C5" i="5"/>
  <c r="C9" i="5"/>
  <c r="G7" i="5"/>
  <c r="C6" i="5"/>
  <c r="C10" i="5"/>
  <c r="F15" i="4"/>
  <c r="F7" i="4"/>
  <c r="F14" i="4"/>
  <c r="F10" i="4"/>
  <c r="F6" i="4"/>
  <c r="C15" i="4"/>
  <c r="C11" i="4"/>
  <c r="C7" i="4"/>
  <c r="G16" i="4"/>
  <c r="G12" i="4"/>
  <c r="G8" i="4"/>
  <c r="F17" i="4"/>
  <c r="C14" i="4"/>
  <c r="C10" i="4"/>
  <c r="C6" i="4"/>
  <c r="G11" i="4"/>
  <c r="C4" i="4"/>
  <c r="C13" i="4"/>
  <c r="C9" i="4"/>
  <c r="F10" i="3"/>
  <c r="F6" i="3"/>
  <c r="C6" i="3"/>
  <c r="C10" i="3"/>
  <c r="G12" i="3"/>
  <c r="G8" i="3"/>
  <c r="F12" i="3"/>
  <c r="F8" i="3"/>
  <c r="C4" i="3"/>
  <c r="C5" i="3"/>
  <c r="C9" i="3"/>
</calcChain>
</file>

<file path=xl/sharedStrings.xml><?xml version="1.0" encoding="utf-8"?>
<sst xmlns="http://schemas.openxmlformats.org/spreadsheetml/2006/main" count="81" uniqueCount="47">
  <si>
    <t>Nonseasonal Full-Time Permanent Employees in a Pay Status in the Executive Branch</t>
  </si>
  <si>
    <t>% 
of Total Pop</t>
  </si>
  <si>
    <t>% 
Female</t>
  </si>
  <si>
    <t>Pay Gap %</t>
  </si>
  <si>
    <t>&lt;25</t>
  </si>
  <si>
    <t>25-34</t>
  </si>
  <si>
    <t>35-44</t>
  </si>
  <si>
    <t>45-54</t>
  </si>
  <si>
    <t>55-64</t>
  </si>
  <si>
    <t>65+</t>
  </si>
  <si>
    <t>Age Category</t>
  </si>
  <si>
    <t>Agency</t>
  </si>
  <si>
    <t>Department of Agriculture (AG)</t>
  </si>
  <si>
    <t>Department of Defense (DOD - AF, AR, DD, and NV)</t>
  </si>
  <si>
    <t>Department of Health and Human Services (HE)</t>
  </si>
  <si>
    <t>Department of Interior (IN)</t>
  </si>
  <si>
    <t>DOJ-TR-DHS</t>
  </si>
  <si>
    <t>Department of Transportation (TD)</t>
  </si>
  <si>
    <t>Department of Veterans Affairs (VA)</t>
  </si>
  <si>
    <t>Social Security Administration (SZ)</t>
  </si>
  <si>
    <t>Other</t>
  </si>
  <si>
    <t>GS Grade Level</t>
  </si>
  <si>
    <t>1-3 combined</t>
  </si>
  <si>
    <t>Total</t>
  </si>
  <si>
    <t>(Comparing females to males in the same racial/ethnic group)</t>
  </si>
  <si>
    <t>Racial/Ethnic Groups</t>
  </si>
  <si>
    <t>American Indian/Alaskan Native</t>
  </si>
  <si>
    <t>Asian &amp; Native Hawaiian/Pacific Islander</t>
  </si>
  <si>
    <t>Black/African American</t>
  </si>
  <si>
    <t>Hispanic/Latino</t>
  </si>
  <si>
    <t>White</t>
  </si>
  <si>
    <t>Other (More than one race)</t>
  </si>
  <si>
    <t>% 
Total Pop</t>
  </si>
  <si>
    <t>Total Employees</t>
  </si>
  <si>
    <t>Appendix 3: Summary of Gender Pay Gaps by Subpopulations (September 2022)</t>
  </si>
  <si>
    <t>Male Employees</t>
  </si>
  <si>
    <t>Female Employees</t>
  </si>
  <si>
    <t>Average
Salary</t>
  </si>
  <si>
    <t>Male
Average Salary</t>
  </si>
  <si>
    <t>Female
Average Salary</t>
  </si>
  <si>
    <t>Female/ Male Salary %</t>
  </si>
  <si>
    <t>Male
Avg Salary</t>
  </si>
  <si>
    <t>Female
Avg Salary</t>
  </si>
  <si>
    <t>3a. Gender Pay Gaps by Age Category for the Federal Government's Civilian Workforce</t>
  </si>
  <si>
    <t>3d. Gender Pay Gaps by Racial/Ethnic Groups for the Federal Government's Civilian Workforce</t>
  </si>
  <si>
    <t>3c. Snapshot Data by General Schedule Grade Level (Pay Plan Codes GS-GL-GM)</t>
  </si>
  <si>
    <t>3b. Gender Pay Gaps by Federal Government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</si>
</sst>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8"/>
      <color theme="3"/>
      <name val="Calibri Light"/>
      <family val="2"/>
      <scheme val="major"/>
    </font>
    <font>
      <sz val="16"/>
      <color theme="3"/>
      <name val="Calibri"/>
      <family val="2"/>
      <scheme val="minor"/>
    </font>
    <font>
      <sz val="12"/>
      <color theme="1"/>
      <name val="Source Sans Pro"/>
      <family val="2"/>
    </font>
    <font>
      <sz val="18"/>
      <color theme="3"/>
      <name val="Source Sans Pro"/>
      <family val="2"/>
    </font>
    <font>
      <sz val="16"/>
      <color theme="3"/>
      <name val="Source Sans Pro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6">
    <xf numFmtId="0" fontId="0" fillId="0" borderId="0" xfId="0"/>
    <xf numFmtId="0" fontId="20" fillId="2" borderId="2" xfId="6" applyFont="1" applyFill="1"/>
    <xf numFmtId="0" fontId="21" fillId="0" borderId="0" xfId="0" applyFont="1"/>
    <xf numFmtId="0" fontId="22" fillId="0" borderId="0" xfId="46" applyFont="1"/>
    <xf numFmtId="0" fontId="23" fillId="2" borderId="1" xfId="5" applyFont="1" applyFill="1"/>
    <xf numFmtId="164" fontId="21" fillId="0" borderId="0" xfId="1" applyNumberFormat="1" applyFont="1"/>
    <xf numFmtId="0" fontId="21" fillId="0" borderId="0" xfId="0" applyFont="1" applyAlignment="1">
      <alignment wrapText="1"/>
    </xf>
    <xf numFmtId="0" fontId="21" fillId="0" borderId="0" xfId="0" applyFont="1" applyAlignment="1">
      <alignment vertical="top" wrapText="1"/>
    </xf>
    <xf numFmtId="165" fontId="21" fillId="0" borderId="0" xfId="3" applyNumberFormat="1" applyFont="1"/>
    <xf numFmtId="166" fontId="21" fillId="0" borderId="0" xfId="2" applyNumberFormat="1" applyFont="1"/>
    <xf numFmtId="0" fontId="23" fillId="3" borderId="3" xfId="7" applyFont="1" applyFill="1" applyAlignment="1">
      <alignment horizontal="left" vertical="top"/>
    </xf>
    <xf numFmtId="0" fontId="23" fillId="2" borderId="0" xfId="8" applyFont="1" applyFill="1"/>
    <xf numFmtId="165" fontId="21" fillId="0" borderId="0" xfId="3" applyNumberFormat="1" applyFont="1" applyAlignment="1">
      <alignment wrapText="1"/>
    </xf>
    <xf numFmtId="166" fontId="21" fillId="0" borderId="0" xfId="2" applyNumberFormat="1" applyFont="1" applyAlignment="1">
      <alignment wrapText="1"/>
    </xf>
    <xf numFmtId="164" fontId="21" fillId="0" borderId="0" xfId="1" applyNumberFormat="1" applyFont="1" applyAlignment="1">
      <alignment wrapText="1"/>
    </xf>
    <xf numFmtId="165" fontId="0" fillId="0" borderId="0" xfId="3" applyNumberFormat="1" applyFont="1"/>
  </cellXfs>
  <cellStyles count="47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40" xr:uid="{B0DEDF48-C60F-47BB-878F-00E51360BE8D}"/>
    <cellStyle name="60% - Accent2 2" xfId="41" xr:uid="{8A8BF651-432B-440B-845D-BAA4FCCEFCF0}"/>
    <cellStyle name="60% - Accent3 2" xfId="42" xr:uid="{72423FB5-8077-4C58-A484-87CE1A724133}"/>
    <cellStyle name="60% - Accent4 2" xfId="43" xr:uid="{6D7EC445-82ED-4540-9465-2DFB66E3069A}"/>
    <cellStyle name="60% - Accent5 2" xfId="44" xr:uid="{74413B42-EBB0-4491-922E-084329B4B549}"/>
    <cellStyle name="60% - Accent6 2" xfId="45" xr:uid="{19B576B7-6AEE-417B-A2C0-A8521F6239CC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39" xr:uid="{7FC79BBA-03D4-4737-8D95-6022575AB01D}"/>
    <cellStyle name="Normal" xfId="0" builtinId="0"/>
    <cellStyle name="Normal 2" xfId="4" xr:uid="{1C6CB2ED-0AE7-48BE-874D-E2F60431B5EA}"/>
    <cellStyle name="Note" xfId="17" builtinId="10" customBuiltin="1"/>
    <cellStyle name="Output" xfId="12" builtinId="21" customBuiltin="1"/>
    <cellStyle name="Percent" xfId="3" builtinId="5"/>
    <cellStyle name="Title" xfId="46" builtinId="15"/>
    <cellStyle name="Title 2" xfId="38" xr:uid="{AF652C24-4EFE-41B8-A449-10DFDA968084}"/>
    <cellStyle name="Total" xfId="19" builtinId="25" customBuiltin="1"/>
    <cellStyle name="Warning Text" xfId="16" builtinId="11" customBuiltin="1"/>
  </cellStyles>
  <dxfs count="52"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DE92E9-6569-4FF0-85DF-EFD88D432DEE}" name="GenderPayGapsByAge" displayName="GenderPayGapsByAge" ref="A3:K10" totalsRowShown="0" headerRowDxfId="51" dataDxfId="50">
  <autoFilter ref="A3:K10" xr:uid="{23DE92E9-6569-4FF0-85DF-EFD88D432DEE}"/>
  <tableColumns count="11">
    <tableColumn id="1" xr3:uid="{2D0ACB11-48D8-4563-8161-B8443FBDC1E5}" name="Age Category" dataDxfId="49"/>
    <tableColumn id="2" xr3:uid="{E257EB96-6D5F-4392-87D4-06CB2A0C12A6}" name="Total Employees" dataDxfId="48" dataCellStyle="Comma">
      <calculatedColumnFormula>GenderPayGapsByAge[[#This Row],[Male Employees]]+GenderPayGapsByAge[[#This Row],[Female Employees]]</calculatedColumnFormula>
    </tableColumn>
    <tableColumn id="3" xr3:uid="{9EE1B577-4B68-44A6-B3B0-9AF490ED0BA6}" name="% _x000a_Total Pop" dataDxfId="47" dataCellStyle="Percent"/>
    <tableColumn id="4" xr3:uid="{AA18AEE5-DA9E-4146-A104-5E5606B59BB1}" name="Male Employees" dataDxfId="46" dataCellStyle="Comma"/>
    <tableColumn id="5" xr3:uid="{1F285BF0-CFAC-4D0E-9010-2BCBC72CD77E}" name="Female Employees" dataDxfId="45" dataCellStyle="Comma"/>
    <tableColumn id="6" xr3:uid="{EF8B7A0B-0E03-4072-9515-0489EEB2C1E7}" name="% _x000a_Female" dataDxfId="44" dataCellStyle="Percent">
      <calculatedColumnFormula>GenderPayGapsByAge[[#This Row],[Female Employees]]/GenderPayGapsByAge[[#This Row],[Total Employees]]</calculatedColumnFormula>
    </tableColumn>
    <tableColumn id="7" xr3:uid="{BD9D9C2D-EB3D-47DA-932C-D96004ED2468}" name="Average_x000a_Salary" dataDxfId="43" dataCellStyle="Currency">
      <calculatedColumnFormula>((GenderPayGapsByAge[[#This Row],[Male Employees]]*GenderPayGapsByAge[[#This Row],[Male
Avg Salary]])+(E4*GenderPayGapsByAge[[#This Row],[Female
Avg Salary]]))/GenderPayGapsByAge[[#This Row],[Total Employees]]</calculatedColumnFormula>
    </tableColumn>
    <tableColumn id="8" xr3:uid="{63EEFC13-92D1-4CB8-984D-AD0B131D5A3E}" name="Male_x000a_Avg Salary" dataDxfId="42" dataCellStyle="Currency"/>
    <tableColumn id="9" xr3:uid="{82E61145-C563-4440-B418-A882EC3EE994}" name="Female_x000a_Avg Salary" dataDxfId="41" dataCellStyle="Currency"/>
    <tableColumn id="10" xr3:uid="{E27E256A-8B89-4718-B082-117D7AB30D34}" name="Female/ Male Salary %" dataDxfId="40" dataCellStyle="Percent">
      <calculatedColumnFormula>GenderPayGapsByAge[[#This Row],[Female
Avg Salary]]/GenderPayGapsByAge[[#This Row],[Male
Avg Salary]]</calculatedColumnFormula>
    </tableColumn>
    <tableColumn id="11" xr3:uid="{ADC5F343-5676-4813-99F8-F28758FDB190}" name="Pay Gap %" dataDxfId="39" dataCellStyle="Percent">
      <calculatedColumnFormula>1-GenderPayGapsByAge[[#This Row],[Female/ Male Salary %]]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90A71E2-A6EE-43ED-84A7-DF7DE73A44EC}" name="GenderPayGapsByAgency" displayName="GenderPayGapsByAgency" ref="A3:K12" totalsRowShown="0" headerRowDxfId="38" dataDxfId="37">
  <autoFilter ref="A3:K12" xr:uid="{E90A71E2-A6EE-43ED-84A7-DF7DE73A44EC}"/>
  <tableColumns count="11">
    <tableColumn id="1" xr3:uid="{D94308BB-B3E0-4B5C-B87E-1EF68BC37104}" name="Agency" dataDxfId="36"/>
    <tableColumn id="2" xr3:uid="{5E00E0B9-8C27-41E2-AF6F-CA58BD283120}" name="Total Employees" dataDxfId="35" dataCellStyle="Comma">
      <calculatedColumnFormula>GenderPayGapsByAgency[[#This Row],[Male Employees]]+GenderPayGapsByAgency[[#This Row],[Female Employees]]</calculatedColumnFormula>
    </tableColumn>
    <tableColumn id="3" xr3:uid="{C5E88174-54F9-4715-AC1B-F137B18ECF95}" name="% _x000a_Total Pop" dataDxfId="34" dataCellStyle="Percent"/>
    <tableColumn id="4" xr3:uid="{5E0BBFF9-AE4E-46A1-AADC-C7ED76AD88FC}" name="Male Employees" dataDxfId="33" dataCellStyle="Comma"/>
    <tableColumn id="5" xr3:uid="{5A8D9115-A0F7-4815-80D9-659D69F05CC0}" name="Female Employees" dataDxfId="32" dataCellStyle="Comma"/>
    <tableColumn id="6" xr3:uid="{89BC946B-0451-4DD3-9E3D-BA5562C4A33E}" name="% _x000a_Female" dataDxfId="31" dataCellStyle="Percent">
      <calculatedColumnFormula>GenderPayGapsByAgency[[#This Row],[Female Employees]]/GenderPayGapsByAgency[[#This Row],[Total Employees]]</calculatedColumnFormula>
    </tableColumn>
    <tableColumn id="7" xr3:uid="{8AEE0C5F-E01C-4983-9A71-35FE27789D21}" name="Average_x000a_Salary" dataDxfId="30" dataCellStyle="Currency">
      <calculatedColumnFormula>((GenderPayGapsByAgency[[#This Row],[Male Employees]]*GenderPayGapsByAgency[[#This Row],[Male
Average Salary]])+(E4*GenderPayGapsByAgency[[#This Row],[Female
Average Salary]]))/GenderPayGapsByAgency[[#This Row],[Total Employees]]</calculatedColumnFormula>
    </tableColumn>
    <tableColumn id="8" xr3:uid="{CCCDA6B6-22D4-4F5F-9089-F684DD647DB0}" name="Male_x000a_Average Salary" dataDxfId="29" dataCellStyle="Currency"/>
    <tableColumn id="9" xr3:uid="{40ADDBCA-1C42-46C2-8787-DF3C32A035C9}" name="Female_x000a_Average Salary" dataDxfId="28" dataCellStyle="Currency"/>
    <tableColumn id="10" xr3:uid="{B1B6C50E-96CD-4861-B536-E4F482E5391A}" name="Female/ Male Salary %" dataDxfId="27" dataCellStyle="Percent">
      <calculatedColumnFormula>GenderPayGapsByAgency[[#This Row],[Female
Average Salary]]/GenderPayGapsByAgency[[#This Row],[Male
Average Salary]]</calculatedColumnFormula>
    </tableColumn>
    <tableColumn id="11" xr3:uid="{DDC5340F-5863-4682-901F-D2974F0B4D2C}" name="Pay Gap %" dataDxfId="26" dataCellStyle="Percent">
      <calculatedColumnFormula>1-GenderPayGapsByAgency[[#This Row],[Female/ Male Salary %]]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00DED33-06AB-486B-8F56-01C218F9B016}" name="DataByGSGrade" displayName="DataByGSGrade" ref="A3:K17" totalsRowShown="0" headerRowDxfId="25" dataDxfId="24">
  <autoFilter ref="A3:K17" xr:uid="{500DED33-06AB-486B-8F56-01C218F9B016}"/>
  <tableColumns count="11">
    <tableColumn id="1" xr3:uid="{D90B8991-44B0-4439-B0C9-3A936F6C4FA3}" name="GS Grade Level" dataDxfId="23"/>
    <tableColumn id="2" xr3:uid="{17A890ED-6228-496B-8C06-3CCB4F7E9FD6}" name="Total Employees" dataDxfId="22" dataCellStyle="Comma">
      <calculatedColumnFormula>DataByGSGrade[[#This Row],[Male Employees]]+DataByGSGrade[[#This Row],[Female Employees]]</calculatedColumnFormula>
    </tableColumn>
    <tableColumn id="3" xr3:uid="{08C06EA7-E6FF-4F2D-93AE-681885472B61}" name="% _x000a_of Total Pop" dataDxfId="21" dataCellStyle="Percent"/>
    <tableColumn id="4" xr3:uid="{5BE230DB-947F-42B5-A2FE-A82B831695BC}" name="Male Employees" dataDxfId="20" dataCellStyle="Comma"/>
    <tableColumn id="5" xr3:uid="{F82AF117-EB1C-46A0-928F-9B4AD5A49B1A}" name="Female Employees" dataDxfId="19" dataCellStyle="Comma"/>
    <tableColumn id="6" xr3:uid="{C8CA5B6F-C54C-47AB-B523-41801B15B30E}" name="% _x000a_Female" dataDxfId="18" dataCellStyle="Percent">
      <calculatedColumnFormula>DataByGSGrade[[#This Row],[Female Employees]]/DataByGSGrade[[#This Row],[Total Employees]]</calculatedColumnFormula>
    </tableColumn>
    <tableColumn id="7" xr3:uid="{22864507-EDD6-4C16-810C-3FB9824B13A7}" name="Average_x000a_Salary" dataDxfId="17"/>
    <tableColumn id="8" xr3:uid="{7BD0FA01-1121-47B2-B3FC-EF5BBC2C8AD4}" name="Male_x000a_Average Salary" dataDxfId="16"/>
    <tableColumn id="9" xr3:uid="{A7615A9B-6680-4D2C-9E35-5321F9255003}" name="Female_x000a_Average Salary" dataDxfId="15"/>
    <tableColumn id="10" xr3:uid="{352AE1A6-10B4-4A7A-8FEB-F32C336550AC}" name="Female/ Male Salary %" dataDxfId="14"/>
    <tableColumn id="11" xr3:uid="{C0A65E1F-B362-40C5-97F5-51C478C6900F}" name="Pay Gap %" dataDxfId="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9A8A9A1-91D6-4B2E-9910-A3BECCCE3EE5}" name="GenderPayGapsByRacialOrEthnicGroup" displayName="GenderPayGapsByRacialOrEthnicGroup" ref="A4:K10" totalsRowShown="0" headerRowDxfId="12" dataDxfId="11">
  <autoFilter ref="A4:K10" xr:uid="{19A8A9A1-91D6-4B2E-9910-A3BECCCE3EE5}"/>
  <tableColumns count="11">
    <tableColumn id="1" xr3:uid="{EF670FDF-657C-44D0-916C-57BC16F0178B}" name="Racial/Ethnic Groups" dataDxfId="10"/>
    <tableColumn id="2" xr3:uid="{72AAFB0D-85E2-4446-B557-AAFBF8E4F7AF}" name="Total Employees" dataDxfId="9" dataCellStyle="Comma">
      <calculatedColumnFormula>GenderPayGapsByRacialOrEthnicGroup[[#This Row],[Male Employees]]+GenderPayGapsByRacialOrEthnicGroup[[#This Row],[Female Employees]]</calculatedColumnFormula>
    </tableColumn>
    <tableColumn id="3" xr3:uid="{0456CF91-C956-425C-BFC4-32B2C0D0DE17}" name="% _x000a_of Total Pop" dataDxfId="8" dataCellStyle="Percent"/>
    <tableColumn id="4" xr3:uid="{5EB1CDF3-092D-46BF-B7BE-0E4E2376F509}" name="Male Employees" dataDxfId="7" dataCellStyle="Comma"/>
    <tableColumn id="5" xr3:uid="{4C5B06D4-4B8C-459A-AD1F-78424496132F}" name="Female Employees" dataDxfId="6" dataCellStyle="Comma"/>
    <tableColumn id="6" xr3:uid="{A486980A-5589-4946-985F-C477382C62B8}" name="% _x000a_Female" dataDxfId="5" dataCellStyle="Percent">
      <calculatedColumnFormula>GenderPayGapsByRacialOrEthnicGroup[[#This Row],[Female Employees]]/GenderPayGapsByRacialOrEthnicGroup[[#This Row],[Total Employees]]</calculatedColumnFormula>
    </tableColumn>
    <tableColumn id="7" xr3:uid="{DF4F066D-B125-4064-8588-B741CBE3ECA5}" name="Average_x000a_Salary" dataDxfId="4" dataCellStyle="Currency">
      <calculatedColumnFormula>((GenderPayGapsByRacialOrEthnicGroup[[#This Row],[Male Employees]]*GenderPayGapsByRacialOrEthnicGroup[[#This Row],[Male
Average Salary]])+(GenderPayGapsByRacialOrEthnicGroup[[#This Row],[Female Employees]]*GenderPayGapsByRacialOrEthnicGroup[[#This Row],[Female
Average Salary]]))/GenderPayGapsByRacialOrEthnicGroup[[#This Row],[Total Employees]]</calculatedColumnFormula>
    </tableColumn>
    <tableColumn id="8" xr3:uid="{58E7E203-3789-4CFD-83CF-6550261C82A7}" name="Male_x000a_Average Salary" dataDxfId="3" dataCellStyle="Currency"/>
    <tableColumn id="9" xr3:uid="{70F62488-4703-4E64-BA2D-6454D8BF771E}" name="Female_x000a_Average Salary" dataDxfId="2" dataCellStyle="Currency"/>
    <tableColumn id="10" xr3:uid="{B717CFD0-7039-40A7-802D-7BA8CA20C4E1}" name="Female/ Male Salary %" dataDxfId="1" dataCellStyle="Percent">
      <calculatedColumnFormula>GenderPayGapsByRacialOrEthnicGroup[[#This Row],[Female
Average Salary]]/GenderPayGapsByRacialOrEthnicGroup[[#This Row],[Male
Average Salary]]</calculatedColumnFormula>
    </tableColumn>
    <tableColumn id="11" xr3:uid="{68BE8FC0-0C0F-45CF-B768-F8AD7AD3F465}" name="Pay Gap %" dataDxfId="0" dataCellStyle="Percent">
      <calculatedColumnFormula>1-GenderPayGapsByRacialOrEthnicGroup[[#This Row],[Female/ Male Salary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6E2FE-E9D7-443B-B402-88F163082207}">
  <dimension ref="A1:K11"/>
  <sheetViews>
    <sheetView workbookViewId="0">
      <selection activeCell="H10" sqref="H10"/>
    </sheetView>
  </sheetViews>
  <sheetFormatPr defaultRowHeight="14.4" x14ac:dyDescent="0.3"/>
  <cols>
    <col min="1" max="1" width="9.88671875" customWidth="1"/>
    <col min="2" max="2" width="11.6640625" customWidth="1"/>
    <col min="4" max="5" width="12.6640625" bestFit="1" customWidth="1"/>
    <col min="7" max="9" width="11.109375" customWidth="1"/>
    <col min="10" max="10" width="9.88671875" customWidth="1"/>
    <col min="11" max="11" width="12.33203125" customWidth="1"/>
  </cols>
  <sheetData>
    <row r="1" spans="1:11" ht="23.4" x14ac:dyDescent="0.45">
      <c r="A1" s="3" t="s">
        <v>34</v>
      </c>
    </row>
    <row r="2" spans="1:11" ht="21.6" thickBot="1" x14ac:dyDescent="0.45">
      <c r="A2" s="4" t="s">
        <v>43</v>
      </c>
    </row>
    <row r="3" spans="1:11" ht="47.4" thickTop="1" x14ac:dyDescent="0.3">
      <c r="A3" s="7" t="s">
        <v>10</v>
      </c>
      <c r="B3" s="7" t="s">
        <v>33</v>
      </c>
      <c r="C3" s="7" t="s">
        <v>32</v>
      </c>
      <c r="D3" s="7" t="s">
        <v>35</v>
      </c>
      <c r="E3" s="7" t="s">
        <v>36</v>
      </c>
      <c r="F3" s="7" t="s">
        <v>2</v>
      </c>
      <c r="G3" s="7" t="s">
        <v>37</v>
      </c>
      <c r="H3" s="7" t="s">
        <v>41</v>
      </c>
      <c r="I3" s="7" t="s">
        <v>42</v>
      </c>
      <c r="J3" s="7" t="s">
        <v>40</v>
      </c>
      <c r="K3" s="7" t="s">
        <v>3</v>
      </c>
    </row>
    <row r="4" spans="1:11" ht="15.6" x14ac:dyDescent="0.3">
      <c r="A4" s="2" t="s">
        <v>4</v>
      </c>
      <c r="B4" s="5">
        <f>GenderPayGapsByAge[[#This Row],[Male Employees]]+GenderPayGapsByAge[[#This Row],[Female Employees]]</f>
        <v>31708</v>
      </c>
      <c r="C4" s="15">
        <f>GenderPayGapsByAge[[#This Row],[Total Employees]]/(SUM(B4:B9))</f>
        <v>1.6189899949195941E-2</v>
      </c>
      <c r="D4" s="5">
        <v>18834</v>
      </c>
      <c r="E4" s="5">
        <v>12874</v>
      </c>
      <c r="F4" s="8">
        <f>GenderPayGapsByAge[[#This Row],[Female Employees]]/GenderPayGapsByAge[[#This Row],[Total Employees]]</f>
        <v>0.40601740885580928</v>
      </c>
      <c r="G4" s="9">
        <f>((GenderPayGapsByAge[[#This Row],[Male Employees]]*GenderPayGapsByAge[[#This Row],[Male
Avg Salary]])+(E4*GenderPayGapsByAge[[#This Row],[Female
Avg Salary]]))/GenderPayGapsByAge[[#This Row],[Total Employees]]</f>
        <v>53325.933833732815</v>
      </c>
      <c r="H4" s="9">
        <v>54356</v>
      </c>
      <c r="I4" s="9">
        <v>51819</v>
      </c>
      <c r="J4" s="8">
        <f>GenderPayGapsByAge[[#This Row],[Female
Avg Salary]]/GenderPayGapsByAge[[#This Row],[Male
Avg Salary]]</f>
        <v>0.95332621973655163</v>
      </c>
      <c r="K4" s="8">
        <f>1-GenderPayGapsByAge[[#This Row],[Female/ Male Salary %]]</f>
        <v>4.6673780263448372E-2</v>
      </c>
    </row>
    <row r="5" spans="1:11" ht="15.6" x14ac:dyDescent="0.3">
      <c r="A5" s="2" t="s">
        <v>5</v>
      </c>
      <c r="B5" s="5">
        <f>GenderPayGapsByAge[[#This Row],[Male Employees]]+GenderPayGapsByAge[[#This Row],[Female Employees]]</f>
        <v>281117</v>
      </c>
      <c r="C5" s="15">
        <f>GenderPayGapsByAge[[#This Row],[Total Employees]]/(SUM(B4:B9))</f>
        <v>0.14353652403236142</v>
      </c>
      <c r="D5" s="5">
        <v>154189</v>
      </c>
      <c r="E5" s="5">
        <v>126928</v>
      </c>
      <c r="F5" s="8">
        <f>GenderPayGapsByAge[[#This Row],[Female Employees]]/GenderPayGapsByAge[[#This Row],[Total Employees]]</f>
        <v>0.45151307107005267</v>
      </c>
      <c r="G5" s="9">
        <f>((GenderPayGapsByAge[[#This Row],[Male Employees]]*GenderPayGapsByAge[[#This Row],[Male
Avg Salary]])+(E5*GenderPayGapsByAge[[#This Row],[Female
Avg Salary]]))/GenderPayGapsByAge[[#This Row],[Total Employees]]</f>
        <v>74949.488302023718</v>
      </c>
      <c r="H5" s="9">
        <v>75699</v>
      </c>
      <c r="I5" s="9">
        <v>74039</v>
      </c>
      <c r="J5" s="8">
        <f>GenderPayGapsByAge[[#This Row],[Female
Avg Salary]]/GenderPayGapsByAge[[#This Row],[Male
Avg Salary]]</f>
        <v>0.97807104453163185</v>
      </c>
      <c r="K5" s="8">
        <f>1-GenderPayGapsByAge[[#This Row],[Female/ Male Salary %]]</f>
        <v>2.192895546836815E-2</v>
      </c>
    </row>
    <row r="6" spans="1:11" ht="15.6" x14ac:dyDescent="0.3">
      <c r="A6" s="2" t="s">
        <v>6</v>
      </c>
      <c r="B6" s="5">
        <f>GenderPayGapsByAge[[#This Row],[Male Employees]]+GenderPayGapsByAge[[#This Row],[Female Employees]]</f>
        <v>538533</v>
      </c>
      <c r="C6" s="15">
        <f>GenderPayGapsByAge[[#This Row],[Total Employees]]/(SUM(B4:B9))</f>
        <v>0.2749714705859827</v>
      </c>
      <c r="D6" s="5">
        <v>298579</v>
      </c>
      <c r="E6" s="5">
        <v>239954</v>
      </c>
      <c r="F6" s="8">
        <f>GenderPayGapsByAge[[#This Row],[Female Employees]]/GenderPayGapsByAge[[#This Row],[Total Employees]]</f>
        <v>0.44556972367524367</v>
      </c>
      <c r="G6" s="9">
        <f>((GenderPayGapsByAge[[#This Row],[Male Employees]]*GenderPayGapsByAge[[#This Row],[Male
Avg Salary]])+(E6*GenderPayGapsByAge[[#This Row],[Female
Avg Salary]]))/GenderPayGapsByAge[[#This Row],[Total Employees]]</f>
        <v>95324.713601580588</v>
      </c>
      <c r="H6" s="9">
        <v>96714</v>
      </c>
      <c r="I6" s="9">
        <v>93596</v>
      </c>
      <c r="J6" s="8">
        <f>GenderPayGapsByAge[[#This Row],[Female
Avg Salary]]/GenderPayGapsByAge[[#This Row],[Male
Avg Salary]]</f>
        <v>0.96776061376843059</v>
      </c>
      <c r="K6" s="8">
        <f>1-GenderPayGapsByAge[[#This Row],[Female/ Male Salary %]]</f>
        <v>3.2239386231569411E-2</v>
      </c>
    </row>
    <row r="7" spans="1:11" ht="15.6" x14ac:dyDescent="0.3">
      <c r="A7" s="2" t="s">
        <v>7</v>
      </c>
      <c r="B7" s="5">
        <f>GenderPayGapsByAge[[#This Row],[Male Employees]]+GenderPayGapsByAge[[#This Row],[Female Employees]]</f>
        <v>543007</v>
      </c>
      <c r="C7" s="15">
        <f>GenderPayGapsByAge[[#This Row],[Total Employees]]/(SUM(B4:B9))</f>
        <v>0.27725586608152647</v>
      </c>
      <c r="D7" s="5">
        <v>301793</v>
      </c>
      <c r="E7" s="5">
        <v>241214</v>
      </c>
      <c r="F7" s="8">
        <f>GenderPayGapsByAge[[#This Row],[Female Employees]]/GenderPayGapsByAge[[#This Row],[Total Employees]]</f>
        <v>0.44421895113690985</v>
      </c>
      <c r="G7" s="9">
        <f>((GenderPayGapsByAge[[#This Row],[Male Employees]]*GenderPayGapsByAge[[#This Row],[Male
Avg Salary]])+(E7*GenderPayGapsByAge[[#This Row],[Female
Avg Salary]]))/GenderPayGapsByAge[[#This Row],[Total Employees]]</f>
        <v>102251.99042369619</v>
      </c>
      <c r="H7" s="9">
        <v>104422</v>
      </c>
      <c r="I7" s="9">
        <v>99537</v>
      </c>
      <c r="J7" s="8">
        <f>GenderPayGapsByAge[[#This Row],[Female
Avg Salary]]/GenderPayGapsByAge[[#This Row],[Male
Avg Salary]]</f>
        <v>0.95321867039512742</v>
      </c>
      <c r="K7" s="8">
        <f>1-GenderPayGapsByAge[[#This Row],[Female/ Male Salary %]]</f>
        <v>4.6781329604872579E-2</v>
      </c>
    </row>
    <row r="8" spans="1:11" ht="15.6" x14ac:dyDescent="0.3">
      <c r="A8" s="2" t="s">
        <v>8</v>
      </c>
      <c r="B8" s="5">
        <f>GenderPayGapsByAge[[#This Row],[Male Employees]]+GenderPayGapsByAge[[#This Row],[Female Employees]]</f>
        <v>468046</v>
      </c>
      <c r="C8" s="15">
        <f>GenderPayGapsByAge[[#This Row],[Total Employees]]/(SUM(B4:B9))</f>
        <v>0.23898126377006951</v>
      </c>
      <c r="D8" s="5">
        <v>263949</v>
      </c>
      <c r="E8" s="5">
        <v>204097</v>
      </c>
      <c r="F8" s="8">
        <f>GenderPayGapsByAge[[#This Row],[Female Employees]]/GenderPayGapsByAge[[#This Row],[Total Employees]]</f>
        <v>0.43606184007554816</v>
      </c>
      <c r="G8" s="9">
        <f>((GenderPayGapsByAge[[#This Row],[Male Employees]]*GenderPayGapsByAge[[#This Row],[Male
Avg Salary]])+(E8*GenderPayGapsByAge[[#This Row],[Female
Avg Salary]]))/GenderPayGapsByAge[[#This Row],[Total Employees]]</f>
        <v>105814.42156753823</v>
      </c>
      <c r="H8" s="9">
        <v>109865</v>
      </c>
      <c r="I8" s="9">
        <v>100576</v>
      </c>
      <c r="J8" s="8">
        <f>GenderPayGapsByAge[[#This Row],[Female
Avg Salary]]/GenderPayGapsByAge[[#This Row],[Male
Avg Salary]]</f>
        <v>0.91545078050334505</v>
      </c>
      <c r="K8" s="8">
        <f>1-GenderPayGapsByAge[[#This Row],[Female/ Male Salary %]]</f>
        <v>8.4549219496654948E-2</v>
      </c>
    </row>
    <row r="9" spans="1:11" ht="15.6" x14ac:dyDescent="0.3">
      <c r="A9" s="2" t="s">
        <v>9</v>
      </c>
      <c r="B9" s="5">
        <f>GenderPayGapsByAge[[#This Row],[Male Employees]]+GenderPayGapsByAge[[#This Row],[Female Employees]]</f>
        <v>96094</v>
      </c>
      <c r="C9" s="15">
        <f>GenderPayGapsByAge[[#This Row],[Total Employees]]/(SUM(B4:B9))</f>
        <v>4.9064975580863979E-2</v>
      </c>
      <c r="D9" s="5">
        <v>56985</v>
      </c>
      <c r="E9" s="5">
        <v>39109</v>
      </c>
      <c r="F9" s="8">
        <f>GenderPayGapsByAge[[#This Row],[Female Employees]]/GenderPayGapsByAge[[#This Row],[Total Employees]]</f>
        <v>0.40698690865194498</v>
      </c>
      <c r="G9" s="9">
        <f>((GenderPayGapsByAge[[#This Row],[Male Employees]]*GenderPayGapsByAge[[#This Row],[Male
Avg Salary]])+(E9*GenderPayGapsByAge[[#This Row],[Female
Avg Salary]]))/GenderPayGapsByAge[[#This Row],[Total Employees]]</f>
        <v>110283.8444127625</v>
      </c>
      <c r="H9" s="9">
        <v>116048</v>
      </c>
      <c r="I9" s="9">
        <v>101885</v>
      </c>
      <c r="J9" s="8">
        <f>GenderPayGapsByAge[[#This Row],[Female
Avg Salary]]/GenderPayGapsByAge[[#This Row],[Male
Avg Salary]]</f>
        <v>0.87795567351440784</v>
      </c>
      <c r="K9" s="8">
        <f>1-GenderPayGapsByAge[[#This Row],[Female/ Male Salary %]]</f>
        <v>0.12204432648559216</v>
      </c>
    </row>
    <row r="10" spans="1:11" ht="15.6" x14ac:dyDescent="0.3">
      <c r="A10" s="2" t="s">
        <v>23</v>
      </c>
      <c r="B10" s="5">
        <f>SUM(B4:B9)</f>
        <v>1958505</v>
      </c>
      <c r="C10" s="8">
        <f>SUM(C4:C9)</f>
        <v>0.99999999999999989</v>
      </c>
      <c r="D10" s="5">
        <f>SUM(D4:D9)</f>
        <v>1094329</v>
      </c>
      <c r="E10" s="5">
        <f>SUM(E4:E9)</f>
        <v>864176</v>
      </c>
      <c r="F10" s="8">
        <f>GenderPayGapsByAge[[#This Row],[Female Employees]]/GenderPayGapsByAge[[#This Row],[Total Employees]]</f>
        <v>0.44124268255633764</v>
      </c>
      <c r="G10" s="9"/>
      <c r="H10" s="9"/>
      <c r="I10" s="9"/>
      <c r="J10" s="8"/>
      <c r="K10" s="8"/>
    </row>
    <row r="11" spans="1:11" ht="15.6" x14ac:dyDescent="0.3">
      <c r="A11" s="2" t="s">
        <v>0</v>
      </c>
    </row>
  </sheetData>
  <sheetProtection algorithmName="SHA-512" hashValue="SJzJzmSXPNnTHPeJoOsFpVpiyzbJA9hVpGXBdkE3c+UUMnaNkANJsXwRarX+8E2gN/yQoqW/V63RxGidfEmGHg==" saltValue="7RCy9BZN/tHBgLyQe3qHNw==" spinCount="100000" sheet="1" objects="1" scenarios="1" sort="0" autoFilter="0"/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44D77-F2AF-461A-BEA1-67C325BE6322}">
  <dimension ref="A1:K14"/>
  <sheetViews>
    <sheetView zoomScaleNormal="100" workbookViewId="0">
      <selection activeCell="A2" sqref="A2"/>
    </sheetView>
  </sheetViews>
  <sheetFormatPr defaultRowHeight="14.4" x14ac:dyDescent="0.3"/>
  <cols>
    <col min="1" max="1" width="26.5546875" customWidth="1"/>
    <col min="2" max="2" width="12.109375" customWidth="1"/>
    <col min="4" max="4" width="12.33203125" customWidth="1"/>
    <col min="5" max="5" width="12.44140625" customWidth="1"/>
    <col min="7" max="7" width="10.6640625" customWidth="1"/>
    <col min="8" max="8" width="11.5546875" customWidth="1"/>
    <col min="9" max="9" width="10.6640625" customWidth="1"/>
    <col min="10" max="10" width="11.88671875" customWidth="1"/>
    <col min="11" max="11" width="7.6640625" customWidth="1"/>
  </cols>
  <sheetData>
    <row r="1" spans="1:11" ht="23.4" x14ac:dyDescent="0.45">
      <c r="A1" s="3" t="s">
        <v>34</v>
      </c>
    </row>
    <row r="2" spans="1:11" ht="21.6" thickBot="1" x14ac:dyDescent="0.45">
      <c r="A2" s="1" t="s">
        <v>46</v>
      </c>
    </row>
    <row r="3" spans="1:11" ht="47.4" thickTop="1" x14ac:dyDescent="0.3">
      <c r="A3" s="7" t="s">
        <v>11</v>
      </c>
      <c r="B3" s="7" t="s">
        <v>33</v>
      </c>
      <c r="C3" s="7" t="s">
        <v>32</v>
      </c>
      <c r="D3" s="7" t="s">
        <v>35</v>
      </c>
      <c r="E3" s="7" t="s">
        <v>36</v>
      </c>
      <c r="F3" s="7" t="s">
        <v>2</v>
      </c>
      <c r="G3" s="7" t="s">
        <v>37</v>
      </c>
      <c r="H3" s="7" t="s">
        <v>38</v>
      </c>
      <c r="I3" s="7" t="s">
        <v>39</v>
      </c>
      <c r="J3" s="7" t="s">
        <v>40</v>
      </c>
      <c r="K3" s="7" t="s">
        <v>3</v>
      </c>
    </row>
    <row r="4" spans="1:11" ht="31.2" x14ac:dyDescent="0.3">
      <c r="A4" s="7" t="s">
        <v>12</v>
      </c>
      <c r="B4" s="5">
        <f>GenderPayGapsByAgency[[#This Row],[Male Employees]]+GenderPayGapsByAgency[[#This Row],[Female Employees]]</f>
        <v>74959</v>
      </c>
      <c r="C4" s="8">
        <f>GenderPayGapsByAgency[[#This Row],[Total Employees]]/(SUM(B4:B12))</f>
        <v>3.8273522497738077E-2</v>
      </c>
      <c r="D4" s="5">
        <v>41576</v>
      </c>
      <c r="E4" s="5">
        <v>33383</v>
      </c>
      <c r="F4" s="8">
        <f>GenderPayGapsByAgency[[#This Row],[Female Employees]]/GenderPayGapsByAgency[[#This Row],[Total Employees]]</f>
        <v>0.44535012473485508</v>
      </c>
      <c r="G4" s="9">
        <f>((GenderPayGapsByAgency[[#This Row],[Male Employees]]*GenderPayGapsByAgency[[#This Row],[Male
Average Salary]])+(E4*GenderPayGapsByAgency[[#This Row],[Female
Average Salary]]))/GenderPayGapsByAgency[[#This Row],[Total Employees]]</f>
        <v>83594.666490205098</v>
      </c>
      <c r="H4" s="9">
        <v>83753.365430435006</v>
      </c>
      <c r="I4" s="9">
        <v>83397.018970838995</v>
      </c>
      <c r="J4" s="8">
        <f>GenderPayGapsByAgency[[#This Row],[Female
Average Salary]]/GenderPayGapsByAgency[[#This Row],[Male
Average Salary]]</f>
        <v>0.99574528787273642</v>
      </c>
      <c r="K4" s="8">
        <f>1-GenderPayGapsByAgency[[#This Row],[Female/ Male Salary %]]</f>
        <v>4.2547121272635824E-3</v>
      </c>
    </row>
    <row r="5" spans="1:11" ht="31.2" x14ac:dyDescent="0.3">
      <c r="A5" s="7" t="s">
        <v>13</v>
      </c>
      <c r="B5" s="5">
        <f>GenderPayGapsByAgency[[#This Row],[Male Employees]]+GenderPayGapsByAgency[[#This Row],[Female Employees]]</f>
        <v>692583</v>
      </c>
      <c r="C5" s="8">
        <f>GenderPayGapsByAgency[[#This Row],[Total Employees]]/(SUM(B4:B12))</f>
        <v>0.35362786365947957</v>
      </c>
      <c r="D5" s="5">
        <v>469169</v>
      </c>
      <c r="E5" s="5">
        <v>223414</v>
      </c>
      <c r="F5" s="8">
        <f>GenderPayGapsByAgency[[#This Row],[Female Employees]]/GenderPayGapsByAgency[[#This Row],[Total Employees]]</f>
        <v>0.32258083146713101</v>
      </c>
      <c r="G5" s="9">
        <f>((GenderPayGapsByAgency[[#This Row],[Male Employees]]*GenderPayGapsByAgency[[#This Row],[Male
Average Salary]])+(E5*GenderPayGapsByAgency[[#This Row],[Female
Average Salary]]))/GenderPayGapsByAgency[[#This Row],[Total Employees]]</f>
        <v>91377.934601340196</v>
      </c>
      <c r="H5" s="9">
        <v>92906</v>
      </c>
      <c r="I5" s="9">
        <v>88169</v>
      </c>
      <c r="J5" s="8">
        <f>GenderPayGapsByAgency[[#This Row],[Female
Average Salary]]/GenderPayGapsByAgency[[#This Row],[Male
Average Salary]]</f>
        <v>0.94901298086237706</v>
      </c>
      <c r="K5" s="8">
        <f>1-GenderPayGapsByAgency[[#This Row],[Female/ Male Salary %]]</f>
        <v>5.0987019137622935E-2</v>
      </c>
    </row>
    <row r="6" spans="1:11" ht="31.2" x14ac:dyDescent="0.3">
      <c r="A6" s="7" t="s">
        <v>14</v>
      </c>
      <c r="B6" s="5">
        <f>GenderPayGapsByAgency[[#This Row],[Male Employees]]+GenderPayGapsByAgency[[#This Row],[Female Employees]]</f>
        <v>71188</v>
      </c>
      <c r="C6" s="8">
        <f>GenderPayGapsByAgency[[#This Row],[Total Employees]]/(SUM(B4:B12))</f>
        <v>3.6348077209794397E-2</v>
      </c>
      <c r="D6" s="5">
        <v>24511</v>
      </c>
      <c r="E6" s="5">
        <v>46677</v>
      </c>
      <c r="F6" s="8">
        <f>GenderPayGapsByAgency[[#This Row],[Female Employees]]/GenderPayGapsByAgency[[#This Row],[Total Employees]]</f>
        <v>0.6556863516322976</v>
      </c>
      <c r="G6" s="9">
        <f>((GenderPayGapsByAgency[[#This Row],[Male Employees]]*GenderPayGapsByAgency[[#This Row],[Male
Average Salary]])+(E6*GenderPayGapsByAgency[[#This Row],[Female
Average Salary]]))/GenderPayGapsByAgency[[#This Row],[Total Employees]]</f>
        <v>118051.06206102153</v>
      </c>
      <c r="H6" s="9">
        <v>123867</v>
      </c>
      <c r="I6" s="9">
        <v>114997</v>
      </c>
      <c r="J6" s="8">
        <f>GenderPayGapsByAgency[[#This Row],[Female
Average Salary]]/GenderPayGapsByAgency[[#This Row],[Male
Average Salary]]</f>
        <v>0.92839093543881746</v>
      </c>
      <c r="K6" s="8">
        <f>1-GenderPayGapsByAgency[[#This Row],[Female/ Male Salary %]]</f>
        <v>7.1609064561182545E-2</v>
      </c>
    </row>
    <row r="7" spans="1:11" ht="15.6" x14ac:dyDescent="0.3">
      <c r="A7" s="7" t="s">
        <v>15</v>
      </c>
      <c r="B7" s="5">
        <f>GenderPayGapsByAgency[[#This Row],[Male Employees]]+GenderPayGapsByAgency[[#This Row],[Female Employees]]</f>
        <v>49645</v>
      </c>
      <c r="C7" s="8">
        <f>GenderPayGapsByAgency[[#This Row],[Total Employees]]/(SUM(B4:B12))</f>
        <v>2.5348377438335713E-2</v>
      </c>
      <c r="D7" s="5">
        <v>29377</v>
      </c>
      <c r="E7" s="5">
        <v>20268</v>
      </c>
      <c r="F7" s="8">
        <f>GenderPayGapsByAgency[[#This Row],[Female Employees]]/GenderPayGapsByAgency[[#This Row],[Total Employees]]</f>
        <v>0.4082586363178568</v>
      </c>
      <c r="G7" s="9">
        <f>((GenderPayGapsByAgency[[#This Row],[Male Employees]]*GenderPayGapsByAgency[[#This Row],[Male
Average Salary]])+(E7*GenderPayGapsByAgency[[#This Row],[Female
Average Salary]]))/GenderPayGapsByAgency[[#This Row],[Total Employees]]</f>
        <v>91058.461027741258</v>
      </c>
      <c r="H7" s="9">
        <v>91879.947334376993</v>
      </c>
      <c r="I7" s="9">
        <v>89867.776045007995</v>
      </c>
      <c r="J7" s="8">
        <f>GenderPayGapsByAgency[[#This Row],[Female
Average Salary]]/GenderPayGapsByAgency[[#This Row],[Male
Average Salary]]</f>
        <v>0.9780999951812539</v>
      </c>
      <c r="K7" s="8">
        <f>1-GenderPayGapsByAgency[[#This Row],[Female/ Male Salary %]]</f>
        <v>2.1900004818746099E-2</v>
      </c>
    </row>
    <row r="8" spans="1:11" ht="15.6" x14ac:dyDescent="0.3">
      <c r="A8" s="7" t="s">
        <v>16</v>
      </c>
      <c r="B8" s="5">
        <f>GenderPayGapsByAgency[[#This Row],[Male Employees]]+GenderPayGapsByAgency[[#This Row],[Female Employees]]</f>
        <v>383051</v>
      </c>
      <c r="C8" s="8">
        <f>GenderPayGapsByAgency[[#This Row],[Total Employees]]/(SUM(B4:B12))</f>
        <v>0.19558306629332126</v>
      </c>
      <c r="D8" s="5">
        <v>225088</v>
      </c>
      <c r="E8" s="5">
        <v>157963</v>
      </c>
      <c r="F8" s="8">
        <f>GenderPayGapsByAgency[[#This Row],[Female Employees]]/GenderPayGapsByAgency[[#This Row],[Total Employees]]</f>
        <v>0.41238111896327123</v>
      </c>
      <c r="G8" s="9">
        <f>((GenderPayGapsByAgency[[#This Row],[Male Employees]]*GenderPayGapsByAgency[[#This Row],[Male
Average Salary]])+(E8*GenderPayGapsByAgency[[#This Row],[Female
Average Salary]]))/GenderPayGapsByAgency[[#This Row],[Total Employees]]</f>
        <v>94802.446467963789</v>
      </c>
      <c r="H8" s="9">
        <v>97652</v>
      </c>
      <c r="I8" s="9">
        <v>90742</v>
      </c>
      <c r="J8" s="8">
        <f>GenderPayGapsByAgency[[#This Row],[Female
Average Salary]]/GenderPayGapsByAgency[[#This Row],[Male
Average Salary]]</f>
        <v>0.92923852046041044</v>
      </c>
      <c r="K8" s="8">
        <f>1-GenderPayGapsByAgency[[#This Row],[Female/ Male Salary %]]</f>
        <v>7.0761479539589556E-2</v>
      </c>
    </row>
    <row r="9" spans="1:11" ht="31.2" x14ac:dyDescent="0.3">
      <c r="A9" s="7" t="s">
        <v>17</v>
      </c>
      <c r="B9" s="5">
        <f>GenderPayGapsByAgency[[#This Row],[Male Employees]]+GenderPayGapsByAgency[[#This Row],[Female Employees]]</f>
        <v>52720</v>
      </c>
      <c r="C9" s="8">
        <f>GenderPayGapsByAgency[[#This Row],[Total Employees]]/(SUM(B4:B12))</f>
        <v>2.6918450167168068E-2</v>
      </c>
      <c r="D9" s="5">
        <v>38904</v>
      </c>
      <c r="E9" s="5">
        <v>13816</v>
      </c>
      <c r="F9" s="8">
        <f>GenderPayGapsByAgency[[#This Row],[Female Employees]]/GenderPayGapsByAgency[[#This Row],[Total Employees]]</f>
        <v>0.26206373292867979</v>
      </c>
      <c r="G9" s="9">
        <f>((GenderPayGapsByAgency[[#This Row],[Male Employees]]*GenderPayGapsByAgency[[#This Row],[Male
Average Salary]])+(E9*GenderPayGapsByAgency[[#This Row],[Female
Average Salary]]))/GenderPayGapsByAgency[[#This Row],[Total Employees]]</f>
        <v>128298.11062215478</v>
      </c>
      <c r="H9" s="9">
        <v>130039</v>
      </c>
      <c r="I9" s="9">
        <v>123396</v>
      </c>
      <c r="J9" s="8">
        <f>GenderPayGapsByAgency[[#This Row],[Female
Average Salary]]/GenderPayGapsByAgency[[#This Row],[Male
Average Salary]]</f>
        <v>0.94891532540237933</v>
      </c>
      <c r="K9" s="8">
        <f>1-GenderPayGapsByAgency[[#This Row],[Female/ Male Salary %]]</f>
        <v>5.1084674597620672E-2</v>
      </c>
    </row>
    <row r="10" spans="1:11" ht="31.2" x14ac:dyDescent="0.3">
      <c r="A10" s="7" t="s">
        <v>18</v>
      </c>
      <c r="B10" s="5">
        <f>GenderPayGapsByAgency[[#This Row],[Male Employees]]+GenderPayGapsByAgency[[#This Row],[Female Employees]]</f>
        <v>397998</v>
      </c>
      <c r="C10" s="8">
        <f>GenderPayGapsByAgency[[#This Row],[Total Employees]]/(SUM(B4:B12))</f>
        <v>0.20321489623733985</v>
      </c>
      <c r="D10" s="5">
        <v>149388</v>
      </c>
      <c r="E10" s="5">
        <v>248610</v>
      </c>
      <c r="F10" s="8">
        <f>GenderPayGapsByAgency[[#This Row],[Female Employees]]/GenderPayGapsByAgency[[#This Row],[Total Employees]]</f>
        <v>0.62465138015768928</v>
      </c>
      <c r="G10" s="9">
        <f>((GenderPayGapsByAgency[[#This Row],[Male Employees]]*GenderPayGapsByAgency[[#This Row],[Male
Average Salary]])+(E10*GenderPayGapsByAgency[[#This Row],[Female
Average Salary]]))/GenderPayGapsByAgency[[#This Row],[Total Employees]]</f>
        <v>90646.133628812211</v>
      </c>
      <c r="H10" s="9">
        <v>95589</v>
      </c>
      <c r="I10" s="9">
        <v>87676</v>
      </c>
      <c r="J10" s="8">
        <f>GenderPayGapsByAgency[[#This Row],[Female
Average Salary]]/GenderPayGapsByAgency[[#This Row],[Male
Average Salary]]</f>
        <v>0.9172185084057789</v>
      </c>
      <c r="K10" s="8">
        <f>1-GenderPayGapsByAgency[[#This Row],[Female/ Male Salary %]]</f>
        <v>8.2781491594221102E-2</v>
      </c>
    </row>
    <row r="11" spans="1:11" ht="31.2" x14ac:dyDescent="0.3">
      <c r="A11" s="7" t="s">
        <v>19</v>
      </c>
      <c r="B11" s="5">
        <f>GenderPayGapsByAgency[[#This Row],[Male Employees]]+GenderPayGapsByAgency[[#This Row],[Female Employees]]</f>
        <v>56461</v>
      </c>
      <c r="C11" s="8">
        <f>GenderPayGapsByAgency[[#This Row],[Total Employees]]/(SUM(B4:B12))</f>
        <v>2.8828577672391432E-2</v>
      </c>
      <c r="D11" s="5">
        <v>20129</v>
      </c>
      <c r="E11" s="5">
        <v>36332</v>
      </c>
      <c r="F11" s="8">
        <f>GenderPayGapsByAgency[[#This Row],[Female Employees]]/GenderPayGapsByAgency[[#This Row],[Total Employees]]</f>
        <v>0.6434884256389366</v>
      </c>
      <c r="G11" s="9">
        <f>((GenderPayGapsByAgency[[#This Row],[Male Employees]]*GenderPayGapsByAgency[[#This Row],[Male
Average Salary]])+(E11*GenderPayGapsByAgency[[#This Row],[Female
Average Salary]]))/GenderPayGapsByAgency[[#This Row],[Total Employees]]</f>
        <v>89685.388923327613</v>
      </c>
      <c r="H11" s="9">
        <v>94240</v>
      </c>
      <c r="I11" s="9">
        <v>87162</v>
      </c>
      <c r="J11" s="8">
        <f>GenderPayGapsByAgency[[#This Row],[Female
Average Salary]]/GenderPayGapsByAgency[[#This Row],[Male
Average Salary]]</f>
        <v>0.92489388794567062</v>
      </c>
      <c r="K11" s="8">
        <f>1-GenderPayGapsByAgency[[#This Row],[Female/ Male Salary %]]</f>
        <v>7.5106112054329377E-2</v>
      </c>
    </row>
    <row r="12" spans="1:11" ht="15.6" x14ac:dyDescent="0.3">
      <c r="A12" s="7" t="s">
        <v>20</v>
      </c>
      <c r="B12" s="5">
        <f>GenderPayGapsByAgency[[#This Row],[Male Employees]]+GenderPayGapsByAgency[[#This Row],[Female Employees]]</f>
        <v>179903</v>
      </c>
      <c r="C12" s="8">
        <f>GenderPayGapsByAgency[[#This Row],[Total Employees]]/(SUM(B4:B12))</f>
        <v>9.1857168824431665E-2</v>
      </c>
      <c r="D12" s="5">
        <v>96187</v>
      </c>
      <c r="E12" s="5">
        <v>83716</v>
      </c>
      <c r="F12" s="8">
        <f>GenderPayGapsByAgency[[#This Row],[Female Employees]]/GenderPayGapsByAgency[[#This Row],[Total Employees]]</f>
        <v>0.46533965525866716</v>
      </c>
      <c r="G12" s="9">
        <f>((GenderPayGapsByAgency[[#This Row],[Male Employees]]*GenderPayGapsByAgency[[#This Row],[Male
Average Salary]])+(E12*GenderPayGapsByAgency[[#This Row],[Female
Average Salary]]))/GenderPayGapsByAgency[[#This Row],[Total Employees]]</f>
        <v>128076.25255276455</v>
      </c>
      <c r="H12" s="9">
        <v>131765</v>
      </c>
      <c r="I12" s="9">
        <v>123838</v>
      </c>
      <c r="J12" s="8">
        <f>GenderPayGapsByAgency[[#This Row],[Female
Average Salary]]/GenderPayGapsByAgency[[#This Row],[Male
Average Salary]]</f>
        <v>0.93983986642886963</v>
      </c>
      <c r="K12" s="8">
        <f>1-GenderPayGapsByAgency[[#This Row],[Female/ Male Salary %]]</f>
        <v>6.016013357113037E-2</v>
      </c>
    </row>
    <row r="14" spans="1:11" ht="15.6" x14ac:dyDescent="0.3">
      <c r="A14" s="2" t="s">
        <v>0</v>
      </c>
    </row>
  </sheetData>
  <sheetProtection algorithmName="SHA-512" hashValue="PJs6i+ZdFR0Cx/4dMrFyv/wM/G9kgkl0IzZScZRwe1y+USe3Vz4Dtdw42t8XTO1jnBjqAztD/hkAKW3WfWhWoQ==" saltValue="pOw5wQUx7wveNGN/gDFaGw==" spinCount="100000" sheet="1" objects="1" scenarios="1" sort="0" autoFilter="0"/>
  <pageMargins left="0.7" right="0.7" top="0.75" bottom="0.75" header="0.3" footer="0.3"/>
  <pageSetup scale="91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0C7FF-DF46-462D-B491-F5616C01389C}">
  <dimension ref="A1:K19"/>
  <sheetViews>
    <sheetView zoomScaleNormal="100" workbookViewId="0">
      <selection activeCell="A2" sqref="A2"/>
    </sheetView>
  </sheetViews>
  <sheetFormatPr defaultRowHeight="14.4" x14ac:dyDescent="0.3"/>
  <cols>
    <col min="1" max="1" width="11.33203125" customWidth="1"/>
    <col min="2" max="2" width="12" customWidth="1"/>
    <col min="4" max="4" width="12" customWidth="1"/>
    <col min="5" max="5" width="11.88671875" customWidth="1"/>
    <col min="7" max="7" width="11.88671875" customWidth="1"/>
    <col min="8" max="8" width="12.109375" customWidth="1"/>
    <col min="9" max="9" width="11.6640625" customWidth="1"/>
    <col min="10" max="10" width="12" customWidth="1"/>
    <col min="11" max="11" width="9.5546875" customWidth="1"/>
  </cols>
  <sheetData>
    <row r="1" spans="1:11" ht="23.4" x14ac:dyDescent="0.45">
      <c r="A1" s="3" t="s">
        <v>34</v>
      </c>
    </row>
    <row r="2" spans="1:11" ht="21.6" thickBot="1" x14ac:dyDescent="0.35">
      <c r="A2" s="10" t="s">
        <v>45</v>
      </c>
    </row>
    <row r="3" spans="1:11" ht="46.8" x14ac:dyDescent="0.3">
      <c r="A3" s="7" t="s">
        <v>21</v>
      </c>
      <c r="B3" s="7" t="s">
        <v>33</v>
      </c>
      <c r="C3" s="7" t="s">
        <v>1</v>
      </c>
      <c r="D3" s="7" t="s">
        <v>35</v>
      </c>
      <c r="E3" s="7" t="s">
        <v>36</v>
      </c>
      <c r="F3" s="7" t="s">
        <v>2</v>
      </c>
      <c r="G3" s="7" t="s">
        <v>37</v>
      </c>
      <c r="H3" s="7" t="s">
        <v>38</v>
      </c>
      <c r="I3" s="7" t="s">
        <v>39</v>
      </c>
      <c r="J3" s="7" t="s">
        <v>40</v>
      </c>
      <c r="K3" s="7" t="s">
        <v>3</v>
      </c>
    </row>
    <row r="4" spans="1:11" ht="31.2" x14ac:dyDescent="0.3">
      <c r="A4" s="6" t="s">
        <v>22</v>
      </c>
      <c r="B4" s="5">
        <f>DataByGSGrade[[#This Row],[Male Employees]]+DataByGSGrade[[#This Row],[Female Employees]]</f>
        <v>2134</v>
      </c>
      <c r="C4" s="8">
        <f>DataByGSGrade[[#This Row],[Total Employees]]/$B$17</f>
        <v>1.5524719514732478E-3</v>
      </c>
      <c r="D4" s="5">
        <v>891</v>
      </c>
      <c r="E4" s="5">
        <v>1243</v>
      </c>
      <c r="F4" s="8">
        <f>DataByGSGrade[[#This Row],[Female Employees]]/DataByGSGrade[[#This Row],[Total Employees]]</f>
        <v>0.58247422680412375</v>
      </c>
      <c r="G4" s="9">
        <f>((DataByGSGrade[[#This Row],[Male Employees]]*DataByGSGrade[[#This Row],[Male
Average Salary]])+(E4*DataByGSGrade[[#This Row],[Female
Average Salary]]))/DataByGSGrade[[#This Row],[Total Employees]]</f>
        <v>35760.597938144332</v>
      </c>
      <c r="H4" s="9">
        <v>35601</v>
      </c>
      <c r="I4" s="9">
        <v>35875</v>
      </c>
      <c r="J4" s="8">
        <f>DataByGSGrade[[#This Row],[Female
Average Salary]]/DataByGSGrade[[#This Row],[Male
Average Salary]]</f>
        <v>1.0076964130221062</v>
      </c>
      <c r="K4" s="8">
        <f>1-DataByGSGrade[[#This Row],[Female/ Male Salary %]]</f>
        <v>-7.6964130221062188E-3</v>
      </c>
    </row>
    <row r="5" spans="1:11" ht="15.6" x14ac:dyDescent="0.3">
      <c r="A5" s="2">
        <v>4</v>
      </c>
      <c r="B5" s="5">
        <f>DataByGSGrade[[#This Row],[Male Employees]]+DataByGSGrade[[#This Row],[Female Employees]]</f>
        <v>10639</v>
      </c>
      <c r="C5" s="8">
        <f>DataByGSGrade[[#This Row],[Total Employees]]/$B$17</f>
        <v>7.739807446918409E-3</v>
      </c>
      <c r="D5" s="5">
        <v>3683</v>
      </c>
      <c r="E5" s="5">
        <v>6956</v>
      </c>
      <c r="F5" s="8">
        <f>DataByGSGrade[[#This Row],[Female Employees]]/DataByGSGrade[[#This Row],[Total Employees]]</f>
        <v>0.65382084782404359</v>
      </c>
      <c r="G5" s="9">
        <f>((DataByGSGrade[[#This Row],[Male Employees]]*DataByGSGrade[[#This Row],[Male
Average Salary]])+(E5*DataByGSGrade[[#This Row],[Female
Average Salary]]))/DataByGSGrade[[#This Row],[Total Employees]]</f>
        <v>39114.378794999531</v>
      </c>
      <c r="H5" s="9">
        <v>38964</v>
      </c>
      <c r="I5" s="9">
        <v>39194</v>
      </c>
      <c r="J5" s="8">
        <f>DataByGSGrade[[#This Row],[Female
Average Salary]]/DataByGSGrade[[#This Row],[Male
Average Salary]]</f>
        <v>1.0059028847140952</v>
      </c>
      <c r="K5" s="8">
        <f>1-DataByGSGrade[[#This Row],[Female/ Male Salary %]]</f>
        <v>-5.902884714095169E-3</v>
      </c>
    </row>
    <row r="6" spans="1:11" ht="15.6" x14ac:dyDescent="0.3">
      <c r="A6" s="2">
        <v>5</v>
      </c>
      <c r="B6" s="5">
        <f>DataByGSGrade[[#This Row],[Male Employees]]+DataByGSGrade[[#This Row],[Female Employees]]</f>
        <v>57539</v>
      </c>
      <c r="C6" s="8">
        <f>DataByGSGrade[[#This Row],[Total Employees]]/$B$17</f>
        <v>4.1859270672829997E-2</v>
      </c>
      <c r="D6" s="5">
        <v>18407</v>
      </c>
      <c r="E6" s="5">
        <v>39132</v>
      </c>
      <c r="F6" s="8">
        <f>DataByGSGrade[[#This Row],[Female Employees]]/DataByGSGrade[[#This Row],[Total Employees]]</f>
        <v>0.68009523975043018</v>
      </c>
      <c r="G6" s="9">
        <f>((DataByGSGrade[[#This Row],[Male Employees]]*DataByGSGrade[[#This Row],[Male
Average Salary]])+(E6*DataByGSGrade[[#This Row],[Female
Average Salary]]))/DataByGSGrade[[#This Row],[Total Employees]]</f>
        <v>43086.732094753126</v>
      </c>
      <c r="H6" s="9">
        <v>43286</v>
      </c>
      <c r="I6" s="9">
        <v>42993</v>
      </c>
      <c r="J6" s="8">
        <f>DataByGSGrade[[#This Row],[Female
Average Salary]]/DataByGSGrade[[#This Row],[Male
Average Salary]]</f>
        <v>0.99323106778173076</v>
      </c>
      <c r="K6" s="8">
        <f>1-DataByGSGrade[[#This Row],[Female/ Male Salary %]]</f>
        <v>6.7689322182692413E-3</v>
      </c>
    </row>
    <row r="7" spans="1:11" ht="15.6" x14ac:dyDescent="0.3">
      <c r="A7" s="2">
        <v>6</v>
      </c>
      <c r="B7" s="5">
        <f>DataByGSGrade[[#This Row],[Male Employees]]+DataByGSGrade[[#This Row],[Female Employees]]</f>
        <v>91741</v>
      </c>
      <c r="C7" s="8">
        <f>DataByGSGrade[[#This Row],[Total Employees]]/$B$17</f>
        <v>6.674101654175596E-2</v>
      </c>
      <c r="D7" s="5">
        <v>26501</v>
      </c>
      <c r="E7" s="5">
        <v>65240</v>
      </c>
      <c r="F7" s="8">
        <f>DataByGSGrade[[#This Row],[Female Employees]]/DataByGSGrade[[#This Row],[Total Employees]]</f>
        <v>0.71113242715906733</v>
      </c>
      <c r="G7" s="9">
        <f>((DataByGSGrade[[#This Row],[Male Employees]]*DataByGSGrade[[#This Row],[Male
Average Salary]])+(E7*DataByGSGrade[[#This Row],[Female
Average Salary]]))/DataByGSGrade[[#This Row],[Total Employees]]</f>
        <v>49878.435667030251</v>
      </c>
      <c r="H7" s="9">
        <v>49645.559947100002</v>
      </c>
      <c r="I7" s="9">
        <v>49973.031612061997</v>
      </c>
      <c r="J7" s="8">
        <f>DataByGSGrade[[#This Row],[Female
Average Salary]]/DataByGSGrade[[#This Row],[Male
Average Salary]]</f>
        <v>1.0065961923948674</v>
      </c>
      <c r="K7" s="8">
        <f>1-DataByGSGrade[[#This Row],[Female/ Male Salary %]]</f>
        <v>-6.5961923948674173E-3</v>
      </c>
    </row>
    <row r="8" spans="1:11" ht="15.6" x14ac:dyDescent="0.3">
      <c r="A8" s="2">
        <v>7</v>
      </c>
      <c r="B8" s="5">
        <f>DataByGSGrade[[#This Row],[Male Employees]]+DataByGSGrade[[#This Row],[Female Employees]]</f>
        <v>105976</v>
      </c>
      <c r="C8" s="8">
        <f>DataByGSGrade[[#This Row],[Total Employees]]/$B$17</f>
        <v>7.7096892000622738E-2</v>
      </c>
      <c r="D8" s="5">
        <v>46684</v>
      </c>
      <c r="E8" s="5">
        <v>59292</v>
      </c>
      <c r="F8" s="8">
        <f>DataByGSGrade[[#This Row],[Female Employees]]/DataByGSGrade[[#This Row],[Total Employees]]</f>
        <v>0.55948516645278179</v>
      </c>
      <c r="G8" s="9">
        <f>((DataByGSGrade[[#This Row],[Male Employees]]*DataByGSGrade[[#This Row],[Male
Average Salary]])+(E8*DataByGSGrade[[#This Row],[Female
Average Salary]]))/DataByGSGrade[[#This Row],[Total Employees]]</f>
        <v>54048.289537253717</v>
      </c>
      <c r="H8" s="9">
        <v>54276</v>
      </c>
      <c r="I8" s="9">
        <v>53869</v>
      </c>
      <c r="J8" s="8">
        <f>DataByGSGrade[[#This Row],[Female
Average Salary]]/DataByGSGrade[[#This Row],[Male
Average Salary]]</f>
        <v>0.99250128970447338</v>
      </c>
      <c r="K8" s="8">
        <f>1-DataByGSGrade[[#This Row],[Female/ Male Salary %]]</f>
        <v>7.4987102955266227E-3</v>
      </c>
    </row>
    <row r="9" spans="1:11" ht="15.6" x14ac:dyDescent="0.3">
      <c r="A9" s="2">
        <v>8</v>
      </c>
      <c r="B9" s="5">
        <f>DataByGSGrade[[#This Row],[Male Employees]]+DataByGSGrade[[#This Row],[Female Employees]]</f>
        <v>53675</v>
      </c>
      <c r="C9" s="8">
        <f>DataByGSGrade[[#This Row],[Total Employees]]/$B$17</f>
        <v>3.9048234299590714E-2</v>
      </c>
      <c r="D9" s="5">
        <v>25987</v>
      </c>
      <c r="E9" s="5">
        <v>27688</v>
      </c>
      <c r="F9" s="8">
        <f>DataByGSGrade[[#This Row],[Female Employees]]/DataByGSGrade[[#This Row],[Total Employees]]</f>
        <v>0.51584536562645555</v>
      </c>
      <c r="G9" s="9">
        <f>((DataByGSGrade[[#This Row],[Male Employees]]*DataByGSGrade[[#This Row],[Male
Average Salary]])+(E9*DataByGSGrade[[#This Row],[Female
Average Salary]]))/DataByGSGrade[[#This Row],[Total Employees]]</f>
        <v>62024.520652072657</v>
      </c>
      <c r="H9" s="9">
        <v>62854</v>
      </c>
      <c r="I9" s="9">
        <v>61246</v>
      </c>
      <c r="J9" s="8">
        <f>DataByGSGrade[[#This Row],[Female
Average Salary]]/DataByGSGrade[[#This Row],[Male
Average Salary]]</f>
        <v>0.97441690266331493</v>
      </c>
      <c r="K9" s="8">
        <f>1-DataByGSGrade[[#This Row],[Female/ Male Salary %]]</f>
        <v>2.5583097336685068E-2</v>
      </c>
    </row>
    <row r="10" spans="1:11" ht="15.6" x14ac:dyDescent="0.3">
      <c r="A10" s="2">
        <v>9</v>
      </c>
      <c r="B10" s="5">
        <f>DataByGSGrade[[#This Row],[Male Employees]]+DataByGSGrade[[#This Row],[Female Employees]]</f>
        <v>126599</v>
      </c>
      <c r="C10" s="8">
        <f>DataByGSGrade[[#This Row],[Total Employees]]/$B$17</f>
        <v>9.2099998399513452E-2</v>
      </c>
      <c r="D10" s="5">
        <v>63538</v>
      </c>
      <c r="E10" s="5">
        <v>63061</v>
      </c>
      <c r="F10" s="8">
        <f>DataByGSGrade[[#This Row],[Female Employees]]/DataByGSGrade[[#This Row],[Total Employees]]</f>
        <v>0.49811609886334013</v>
      </c>
      <c r="G10" s="9">
        <f>((DataByGSGrade[[#This Row],[Male Employees]]*DataByGSGrade[[#This Row],[Male
Average Salary]])+(E10*DataByGSGrade[[#This Row],[Female
Average Salary]]))/DataByGSGrade[[#This Row],[Total Employees]]</f>
        <v>65559.98869659318</v>
      </c>
      <c r="H10" s="9">
        <v>65557</v>
      </c>
      <c r="I10" s="9">
        <v>65563</v>
      </c>
      <c r="J10" s="8">
        <f>DataByGSGrade[[#This Row],[Female
Average Salary]]/DataByGSGrade[[#This Row],[Male
Average Salary]]</f>
        <v>1.0000915234071113</v>
      </c>
      <c r="K10" s="8">
        <f>1-DataByGSGrade[[#This Row],[Female/ Male Salary %]]</f>
        <v>-9.1523407111271382E-5</v>
      </c>
    </row>
    <row r="11" spans="1:11" ht="15.6" x14ac:dyDescent="0.3">
      <c r="A11" s="2">
        <v>10</v>
      </c>
      <c r="B11" s="5">
        <f>DataByGSGrade[[#This Row],[Male Employees]]+DataByGSGrade[[#This Row],[Female Employees]]</f>
        <v>14382</v>
      </c>
      <c r="C11" s="8">
        <f>DataByGSGrade[[#This Row],[Total Employees]]/$B$17</f>
        <v>1.0462817060022611E-2</v>
      </c>
      <c r="D11" s="5">
        <v>8079</v>
      </c>
      <c r="E11" s="5">
        <v>6303</v>
      </c>
      <c r="F11" s="8">
        <f>DataByGSGrade[[#This Row],[Female Employees]]/DataByGSGrade[[#This Row],[Total Employees]]</f>
        <v>0.43825615352523989</v>
      </c>
      <c r="G11" s="9">
        <f>((DataByGSGrade[[#This Row],[Male Employees]]*DataByGSGrade[[#This Row],[Male
Average Salary]])+(E11*DataByGSGrade[[#This Row],[Female
Average Salary]]))/DataByGSGrade[[#This Row],[Total Employees]]</f>
        <v>75502.591364205262</v>
      </c>
      <c r="H11" s="9">
        <v>73892</v>
      </c>
      <c r="I11" s="9">
        <v>77567</v>
      </c>
      <c r="J11" s="8">
        <f>DataByGSGrade[[#This Row],[Female
Average Salary]]/DataByGSGrade[[#This Row],[Male
Average Salary]]</f>
        <v>1.0497347480106101</v>
      </c>
      <c r="K11" s="8">
        <f>1-DataByGSGrade[[#This Row],[Female/ Male Salary %]]</f>
        <v>-4.9734748010610064E-2</v>
      </c>
    </row>
    <row r="12" spans="1:11" ht="15.6" x14ac:dyDescent="0.3">
      <c r="A12" s="2">
        <v>11</v>
      </c>
      <c r="B12" s="5">
        <f>DataByGSGrade[[#This Row],[Male Employees]]+DataByGSGrade[[#This Row],[Female Employees]]</f>
        <v>185525</v>
      </c>
      <c r="C12" s="8">
        <f>DataByGSGrade[[#This Row],[Total Employees]]/$B$17</f>
        <v>0.13496830309141253</v>
      </c>
      <c r="D12" s="5">
        <v>97327</v>
      </c>
      <c r="E12" s="5">
        <v>88198</v>
      </c>
      <c r="F12" s="8">
        <f>DataByGSGrade[[#This Row],[Female Employees]]/DataByGSGrade[[#This Row],[Total Employees]]</f>
        <v>0.47539684678614741</v>
      </c>
      <c r="G12" s="9">
        <f>((DataByGSGrade[[#This Row],[Male Employees]]*DataByGSGrade[[#This Row],[Male
Average Salary]])+(E12*DataByGSGrade[[#This Row],[Female
Average Salary]]))/DataByGSGrade[[#This Row],[Total Employees]]</f>
        <v>79389.49763643714</v>
      </c>
      <c r="H12" s="9">
        <v>79003</v>
      </c>
      <c r="I12" s="9">
        <v>79816</v>
      </c>
      <c r="J12" s="8">
        <f>DataByGSGrade[[#This Row],[Female
Average Salary]]/DataByGSGrade[[#This Row],[Male
Average Salary]]</f>
        <v>1.0102907484525905</v>
      </c>
      <c r="K12" s="8">
        <f>1-DataByGSGrade[[#This Row],[Female/ Male Salary %]]</f>
        <v>-1.0290748452590481E-2</v>
      </c>
    </row>
    <row r="13" spans="1:11" ht="15.6" x14ac:dyDescent="0.3">
      <c r="A13" s="2">
        <v>12</v>
      </c>
      <c r="B13" s="5">
        <f>DataByGSGrade[[#This Row],[Male Employees]]+DataByGSGrade[[#This Row],[Female Employees]]</f>
        <v>285596</v>
      </c>
      <c r="C13" s="8">
        <f>DataByGSGrade[[#This Row],[Total Employees]]/$B$17</f>
        <v>0.2077693436986662</v>
      </c>
      <c r="D13" s="5">
        <v>165502</v>
      </c>
      <c r="E13" s="5">
        <v>120094</v>
      </c>
      <c r="F13" s="8">
        <f>DataByGSGrade[[#This Row],[Female Employees]]/DataByGSGrade[[#This Row],[Total Employees]]</f>
        <v>0.42050308827854732</v>
      </c>
      <c r="G13" s="9">
        <f>((DataByGSGrade[[#This Row],[Male Employees]]*DataByGSGrade[[#This Row],[Male
Average Salary]])+(E13*DataByGSGrade[[#This Row],[Female
Average Salary]]))/DataByGSGrade[[#This Row],[Total Employees]]</f>
        <v>97143.877078110338</v>
      </c>
      <c r="H13" s="9">
        <v>96929</v>
      </c>
      <c r="I13" s="9">
        <v>97440</v>
      </c>
      <c r="J13" s="8">
        <f>DataByGSGrade[[#This Row],[Female
Average Salary]]/DataByGSGrade[[#This Row],[Male
Average Salary]]</f>
        <v>1.0052719000505526</v>
      </c>
      <c r="K13" s="8">
        <f>1-DataByGSGrade[[#This Row],[Female/ Male Salary %]]</f>
        <v>-5.2719000505525582E-3</v>
      </c>
    </row>
    <row r="14" spans="1:11" ht="15.6" x14ac:dyDescent="0.3">
      <c r="A14" s="2">
        <v>13</v>
      </c>
      <c r="B14" s="5">
        <f>DataByGSGrade[[#This Row],[Male Employees]]+DataByGSGrade[[#This Row],[Female Employees]]</f>
        <v>252639</v>
      </c>
      <c r="C14" s="8">
        <f>DataByGSGrade[[#This Row],[Total Employees]]/$B$17</f>
        <v>0.18379332771708054</v>
      </c>
      <c r="D14" s="5">
        <v>145357</v>
      </c>
      <c r="E14" s="5">
        <v>107282</v>
      </c>
      <c r="F14" s="8">
        <f>DataByGSGrade[[#This Row],[Female Employees]]/DataByGSGrade[[#This Row],[Total Employees]]</f>
        <v>0.42464544270678717</v>
      </c>
      <c r="G14" s="9">
        <f>((DataByGSGrade[[#This Row],[Male Employees]]*DataByGSGrade[[#This Row],[Male
Average Salary]])+(E14*DataByGSGrade[[#This Row],[Female
Average Salary]]))/DataByGSGrade[[#This Row],[Total Employees]]</f>
        <v>118391.89013176905</v>
      </c>
      <c r="H14" s="9">
        <v>117901</v>
      </c>
      <c r="I14" s="9">
        <v>119057</v>
      </c>
      <c r="J14" s="8">
        <f>DataByGSGrade[[#This Row],[Female
Average Salary]]/DataByGSGrade[[#This Row],[Male
Average Salary]]</f>
        <v>1.0098048362609309</v>
      </c>
      <c r="K14" s="8">
        <f>1-DataByGSGrade[[#This Row],[Female/ Male Salary %]]</f>
        <v>-9.8048362609308715E-3</v>
      </c>
    </row>
    <row r="15" spans="1:11" ht="15.6" x14ac:dyDescent="0.3">
      <c r="A15" s="2">
        <v>14</v>
      </c>
      <c r="B15" s="5">
        <f>DataByGSGrade[[#This Row],[Male Employees]]+DataByGSGrade[[#This Row],[Female Employees]]</f>
        <v>129431</v>
      </c>
      <c r="C15" s="8">
        <f>DataByGSGrade[[#This Row],[Total Employees]]/$B$17</f>
        <v>9.4160261083005597E-2</v>
      </c>
      <c r="D15" s="5">
        <v>73991</v>
      </c>
      <c r="E15" s="5">
        <v>55440</v>
      </c>
      <c r="F15" s="8">
        <f>DataByGSGrade[[#This Row],[Female Employees]]/DataByGSGrade[[#This Row],[Total Employees]]</f>
        <v>0.42833633364495366</v>
      </c>
      <c r="G15" s="9">
        <f>((DataByGSGrade[[#This Row],[Male Employees]]*DataByGSGrade[[#This Row],[Male
Average Salary]])+(E15*DataByGSGrade[[#This Row],[Female
Average Salary]]))/DataByGSGrade[[#This Row],[Total Employees]]</f>
        <v>142716.22082808602</v>
      </c>
      <c r="H15" s="9">
        <v>142598</v>
      </c>
      <c r="I15" s="9">
        <v>142874</v>
      </c>
      <c r="J15" s="8">
        <f>DataByGSGrade[[#This Row],[Female
Average Salary]]/DataByGSGrade[[#This Row],[Male
Average Salary]]</f>
        <v>1.0019355110169847</v>
      </c>
      <c r="K15" s="8">
        <f>1-DataByGSGrade[[#This Row],[Female/ Male Salary %]]</f>
        <v>-1.9355110169847478E-3</v>
      </c>
    </row>
    <row r="16" spans="1:11" ht="15.6" x14ac:dyDescent="0.3">
      <c r="A16" s="2">
        <v>15</v>
      </c>
      <c r="B16" s="5">
        <f>DataByGSGrade[[#This Row],[Male Employees]]+DataByGSGrade[[#This Row],[Female Employees]]</f>
        <v>58706</v>
      </c>
      <c r="C16" s="8">
        <f>DataByGSGrade[[#This Row],[Total Employees]]/$B$17</f>
        <v>4.2708256037108011E-2</v>
      </c>
      <c r="D16" s="5">
        <v>34335</v>
      </c>
      <c r="E16" s="5">
        <v>24371</v>
      </c>
      <c r="F16" s="8">
        <f>DataByGSGrade[[#This Row],[Female Employees]]/DataByGSGrade[[#This Row],[Total Employees]]</f>
        <v>0.41513644261233945</v>
      </c>
      <c r="G16" s="9">
        <f>((DataByGSGrade[[#This Row],[Male Employees]]*DataByGSGrade[[#This Row],[Male
Average Salary]])+(E16*DataByGSGrade[[#This Row],[Female
Average Salary]]))/DataByGSGrade[[#This Row],[Total Employees]]</f>
        <v>168009.8664872415</v>
      </c>
      <c r="H16" s="9">
        <v>167838</v>
      </c>
      <c r="I16" s="9">
        <v>168252</v>
      </c>
      <c r="J16" s="8">
        <f>DataByGSGrade[[#This Row],[Female
Average Salary]]/DataByGSGrade[[#This Row],[Male
Average Salary]]</f>
        <v>1.0024666642834161</v>
      </c>
      <c r="K16" s="8">
        <f>1-DataByGSGrade[[#This Row],[Female/ Male Salary %]]</f>
        <v>-2.4666642834161312E-3</v>
      </c>
    </row>
    <row r="17" spans="1:11" ht="15.6" x14ac:dyDescent="0.3">
      <c r="A17" s="2" t="s">
        <v>23</v>
      </c>
      <c r="B17" s="5">
        <f>DataByGSGrade[[#This Row],[Male Employees]]+DataByGSGrade[[#This Row],[Female Employees]]</f>
        <v>1374582</v>
      </c>
      <c r="C17" s="8">
        <v>1</v>
      </c>
      <c r="D17" s="5">
        <v>710282</v>
      </c>
      <c r="E17" s="5">
        <v>664300</v>
      </c>
      <c r="F17" s="8">
        <f>DataByGSGrade[[#This Row],[Female Employees]]/DataByGSGrade[[#This Row],[Total Employees]]</f>
        <v>0.4832741880804492</v>
      </c>
      <c r="G17" s="2"/>
      <c r="H17" s="2"/>
      <c r="I17" s="2"/>
      <c r="J17" s="2"/>
      <c r="K17" s="2"/>
    </row>
    <row r="19" spans="1:11" ht="15.6" x14ac:dyDescent="0.3">
      <c r="A19" s="2" t="s">
        <v>0</v>
      </c>
    </row>
  </sheetData>
  <sheetProtection algorithmName="SHA-512" hashValue="QH2djSJefObsXkvdNFHM62wFR6pRnRvwEnuCemV7uzYUmVjYhhfFDZetyMuyBxe56Q1qsi1+cKtgnCFp3xNm6A==" saltValue="yvLJQ7QKxsuiTgNKUEN9Vg==" spinCount="100000" sheet="1" objects="1" scenarios="1" sort="0" autoFilter="0"/>
  <pageMargins left="0.7" right="0.7" top="0.75" bottom="0.75" header="0.3" footer="0.3"/>
  <pageSetup scale="9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5439-CFD7-4BDD-A4A3-FB4B856F16E6}">
  <dimension ref="A1:K12"/>
  <sheetViews>
    <sheetView tabSelected="1" zoomScaleNormal="100" workbookViewId="0">
      <selection activeCell="A2" sqref="A2"/>
    </sheetView>
  </sheetViews>
  <sheetFormatPr defaultRowHeight="14.4" x14ac:dyDescent="0.3"/>
  <cols>
    <col min="1" max="1" width="16.88671875" customWidth="1"/>
    <col min="2" max="2" width="12.109375" customWidth="1"/>
    <col min="4" max="5" width="12.109375" bestFit="1" customWidth="1"/>
    <col min="7" max="7" width="10.88671875" customWidth="1"/>
    <col min="8" max="8" width="11.109375" customWidth="1"/>
    <col min="9" max="9" width="10.5546875" customWidth="1"/>
    <col min="10" max="10" width="10.88671875" customWidth="1"/>
    <col min="11" max="11" width="9.5546875" customWidth="1"/>
  </cols>
  <sheetData>
    <row r="1" spans="1:11" ht="23.4" x14ac:dyDescent="0.45">
      <c r="A1" s="3" t="s">
        <v>34</v>
      </c>
    </row>
    <row r="2" spans="1:11" ht="21" x14ac:dyDescent="0.4">
      <c r="A2" s="11" t="s">
        <v>44</v>
      </c>
    </row>
    <row r="3" spans="1:11" ht="15.6" x14ac:dyDescent="0.3">
      <c r="A3" s="2" t="s">
        <v>24</v>
      </c>
    </row>
    <row r="4" spans="1:11" ht="46.8" x14ac:dyDescent="0.3">
      <c r="A4" s="7" t="s">
        <v>25</v>
      </c>
      <c r="B4" s="7" t="s">
        <v>33</v>
      </c>
      <c r="C4" s="7" t="s">
        <v>1</v>
      </c>
      <c r="D4" s="7" t="s">
        <v>35</v>
      </c>
      <c r="E4" s="7" t="s">
        <v>36</v>
      </c>
      <c r="F4" s="7" t="s">
        <v>2</v>
      </c>
      <c r="G4" s="7" t="s">
        <v>37</v>
      </c>
      <c r="H4" s="7" t="s">
        <v>38</v>
      </c>
      <c r="I4" s="7" t="s">
        <v>39</v>
      </c>
      <c r="J4" s="7" t="s">
        <v>40</v>
      </c>
      <c r="K4" s="7" t="s">
        <v>3</v>
      </c>
    </row>
    <row r="5" spans="1:11" ht="46.8" x14ac:dyDescent="0.3">
      <c r="A5" s="6" t="s">
        <v>26</v>
      </c>
      <c r="B5" s="14">
        <f>GenderPayGapsByRacialOrEthnicGroup[[#This Row],[Male Employees]]+GenderPayGapsByRacialOrEthnicGroup[[#This Row],[Female Employees]]</f>
        <v>29880</v>
      </c>
      <c r="C5" s="12">
        <f>GenderPayGapsByRacialOrEthnicGroup[[#This Row],[Total Employees]]/(SUM(B4:B10))</f>
        <v>1.5307384891078326E-2</v>
      </c>
      <c r="D5" s="14">
        <v>12757</v>
      </c>
      <c r="E5" s="14">
        <v>17123</v>
      </c>
      <c r="F5" s="12">
        <f>GenderPayGapsByRacialOrEthnicGroup[[#This Row],[Female Employees]]/GenderPayGapsByRacialOrEthnicGroup[[#This Row],[Total Employees]]</f>
        <v>0.57305890227576972</v>
      </c>
      <c r="G5" s="13">
        <f>((GenderPayGapsByRacialOrEthnicGroup[[#This Row],[Male Employees]]*GenderPayGapsByRacialOrEthnicGroup[[#This Row],[Male
Average Salary]])+(GenderPayGapsByRacialOrEthnicGroup[[#This Row],[Female Employees]]*GenderPayGapsByRacialOrEthnicGroup[[#This Row],[Female
Average Salary]]))/GenderPayGapsByRacialOrEthnicGroup[[#This Row],[Total Employees]]</f>
        <v>79285.90334672021</v>
      </c>
      <c r="H5" s="13">
        <v>84040</v>
      </c>
      <c r="I5" s="13">
        <v>75744</v>
      </c>
      <c r="J5" s="12">
        <f>GenderPayGapsByRacialOrEthnicGroup[[#This Row],[Female
Average Salary]]/GenderPayGapsByRacialOrEthnicGroup[[#This Row],[Male
Average Salary]]</f>
        <v>0.9012851023322227</v>
      </c>
      <c r="K5" s="12">
        <f>1-GenderPayGapsByRacialOrEthnicGroup[[#This Row],[Female/ Male Salary %]]</f>
        <v>9.8714897667777302E-2</v>
      </c>
    </row>
    <row r="6" spans="1:11" ht="46.8" x14ac:dyDescent="0.3">
      <c r="A6" s="6" t="s">
        <v>27</v>
      </c>
      <c r="B6" s="14">
        <f>GenderPayGapsByRacialOrEthnicGroup[[#This Row],[Male Employees]]+GenderPayGapsByRacialOrEthnicGroup[[#This Row],[Female Employees]]</f>
        <v>140808</v>
      </c>
      <c r="C6" s="12">
        <f>GenderPayGapsByRacialOrEthnicGroup[[#This Row],[Total Employees]]/(SUM(B4:B10))</f>
        <v>7.2135282856189989E-2</v>
      </c>
      <c r="D6" s="14">
        <v>75297</v>
      </c>
      <c r="E6" s="14">
        <v>65511</v>
      </c>
      <c r="F6" s="12">
        <f>GenderPayGapsByRacialOrEthnicGroup[[#This Row],[Female Employees]]/GenderPayGapsByRacialOrEthnicGroup[[#This Row],[Total Employees]]</f>
        <v>0.46525055394579856</v>
      </c>
      <c r="G6" s="13">
        <f>((GenderPayGapsByRacialOrEthnicGroup[[#This Row],[Male Employees]]*GenderPayGapsByRacialOrEthnicGroup[[#This Row],[Male
Average Salary]])+(GenderPayGapsByRacialOrEthnicGroup[[#This Row],[Female Employees]]*GenderPayGapsByRacialOrEthnicGroup[[#This Row],[Female
Average Salary]]))/GenderPayGapsByRacialOrEthnicGroup[[#This Row],[Total Employees]]</f>
        <v>110715.99258564855</v>
      </c>
      <c r="H6" s="13">
        <v>111064</v>
      </c>
      <c r="I6" s="13">
        <v>110316</v>
      </c>
      <c r="J6" s="12">
        <f>GenderPayGapsByRacialOrEthnicGroup[[#This Row],[Female
Average Salary]]/GenderPayGapsByRacialOrEthnicGroup[[#This Row],[Male
Average Salary]]</f>
        <v>0.99326514442123459</v>
      </c>
      <c r="K6" s="12">
        <f>1-GenderPayGapsByRacialOrEthnicGroup[[#This Row],[Female/ Male Salary %]]</f>
        <v>6.7348555787654085E-3</v>
      </c>
    </row>
    <row r="7" spans="1:11" ht="31.2" x14ac:dyDescent="0.3">
      <c r="A7" s="6" t="s">
        <v>28</v>
      </c>
      <c r="B7" s="14">
        <f>GenderPayGapsByRacialOrEthnicGroup[[#This Row],[Male Employees]]+GenderPayGapsByRacialOrEthnicGroup[[#This Row],[Female Employees]]</f>
        <v>365229</v>
      </c>
      <c r="C7" s="12">
        <f>GenderPayGapsByRacialOrEthnicGroup[[#This Row],[Total Employees]]/(SUM(B4:B10))</f>
        <v>0.1871051163448342</v>
      </c>
      <c r="D7" s="14">
        <v>149019</v>
      </c>
      <c r="E7" s="14">
        <v>216210</v>
      </c>
      <c r="F7" s="12">
        <f>GenderPayGapsByRacialOrEthnicGroup[[#This Row],[Female Employees]]/GenderPayGapsByRacialOrEthnicGroup[[#This Row],[Total Employees]]</f>
        <v>0.59198475477029477</v>
      </c>
      <c r="G7" s="13">
        <f>((GenderPayGapsByRacialOrEthnicGroup[[#This Row],[Male Employees]]*GenderPayGapsByRacialOrEthnicGroup[[#This Row],[Male
Average Salary]])+(GenderPayGapsByRacialOrEthnicGroup[[#This Row],[Female Employees]]*GenderPayGapsByRacialOrEthnicGroup[[#This Row],[Female
Average Salary]]))/GenderPayGapsByRacialOrEthnicGroup[[#This Row],[Total Employees]]</f>
        <v>87287.005347330036</v>
      </c>
      <c r="H7" s="13">
        <v>87184</v>
      </c>
      <c r="I7" s="13">
        <v>87358</v>
      </c>
      <c r="J7" s="12">
        <f>GenderPayGapsByRacialOrEthnicGroup[[#This Row],[Female
Average Salary]]/GenderPayGapsByRacialOrEthnicGroup[[#This Row],[Male
Average Salary]]</f>
        <v>1.001995779042026</v>
      </c>
      <c r="K7" s="12">
        <f>1-GenderPayGapsByRacialOrEthnicGroup[[#This Row],[Female/ Male Salary %]]</f>
        <v>-1.9957790420259691E-3</v>
      </c>
    </row>
    <row r="8" spans="1:11" ht="15.6" x14ac:dyDescent="0.3">
      <c r="A8" s="6" t="s">
        <v>29</v>
      </c>
      <c r="B8" s="14">
        <f>GenderPayGapsByRacialOrEthnicGroup[[#This Row],[Male Employees]]+GenderPayGapsByRacialOrEthnicGroup[[#This Row],[Female Employees]]</f>
        <v>190214</v>
      </c>
      <c r="C8" s="12">
        <f>GenderPayGapsByRacialOrEthnicGroup[[#This Row],[Total Employees]]/(SUM(B4:B10))</f>
        <v>9.7445746642288236E-2</v>
      </c>
      <c r="D8" s="14">
        <v>110677</v>
      </c>
      <c r="E8" s="14">
        <v>79537</v>
      </c>
      <c r="F8" s="12">
        <f>GenderPayGapsByRacialOrEthnicGroup[[#This Row],[Female Employees]]/GenderPayGapsByRacialOrEthnicGroup[[#This Row],[Total Employees]]</f>
        <v>0.41814482635347555</v>
      </c>
      <c r="G8" s="13">
        <f>((GenderPayGapsByRacialOrEthnicGroup[[#This Row],[Male Employees]]*GenderPayGapsByRacialOrEthnicGroup[[#This Row],[Male
Average Salary]])+(GenderPayGapsByRacialOrEthnicGroup[[#This Row],[Female Employees]]*GenderPayGapsByRacialOrEthnicGroup[[#This Row],[Female
Average Salary]]))/GenderPayGapsByRacialOrEthnicGroup[[#This Row],[Total Employees]]</f>
        <v>87990.432013416474</v>
      </c>
      <c r="H8" s="13">
        <v>90202</v>
      </c>
      <c r="I8" s="13">
        <v>84913</v>
      </c>
      <c r="J8" s="12">
        <f>GenderPayGapsByRacialOrEthnicGroup[[#This Row],[Female
Average Salary]]/GenderPayGapsByRacialOrEthnicGroup[[#This Row],[Male
Average Salary]]</f>
        <v>0.94136493647590958</v>
      </c>
      <c r="K8" s="12">
        <f>1-GenderPayGapsByRacialOrEthnicGroup[[#This Row],[Female/ Male Salary %]]</f>
        <v>5.8635063524090425E-2</v>
      </c>
    </row>
    <row r="9" spans="1:11" ht="15.6" x14ac:dyDescent="0.3">
      <c r="A9" s="6" t="s">
        <v>30</v>
      </c>
      <c r="B9" s="14">
        <f>GenderPayGapsByRacialOrEthnicGroup[[#This Row],[Male Employees]]+GenderPayGapsByRacialOrEthnicGroup[[#This Row],[Female Employees]]</f>
        <v>1184619</v>
      </c>
      <c r="C9" s="12">
        <f>GenderPayGapsByRacialOrEthnicGroup[[#This Row],[Total Employees]]/(SUM(B4:B10))</f>
        <v>0.60687479860389271</v>
      </c>
      <c r="D9" s="14">
        <v>719391</v>
      </c>
      <c r="E9" s="14">
        <v>465228</v>
      </c>
      <c r="F9" s="12">
        <f>GenderPayGapsByRacialOrEthnicGroup[[#This Row],[Female Employees]]/GenderPayGapsByRacialOrEthnicGroup[[#This Row],[Total Employees]]</f>
        <v>0.39272373649249254</v>
      </c>
      <c r="G9" s="13">
        <f>((GenderPayGapsByRacialOrEthnicGroup[[#This Row],[Male Employees]]*GenderPayGapsByRacialOrEthnicGroup[[#This Row],[Male
Average Salary]])+(GenderPayGapsByRacialOrEthnicGroup[[#This Row],[Female Employees]]*GenderPayGapsByRacialOrEthnicGroup[[#This Row],[Female
Average Salary]]))/GenderPayGapsByRacialOrEthnicGroup[[#This Row],[Total Employees]]</f>
        <v>100361.02042175585</v>
      </c>
      <c r="H9" s="13">
        <v>102629</v>
      </c>
      <c r="I9" s="13">
        <v>96854</v>
      </c>
      <c r="J9" s="12">
        <f>GenderPayGapsByRacialOrEthnicGroup[[#This Row],[Female
Average Salary]]/GenderPayGapsByRacialOrEthnicGroup[[#This Row],[Male
Average Salary]]</f>
        <v>0.94372935525046531</v>
      </c>
      <c r="K9" s="12">
        <f>1-GenderPayGapsByRacialOrEthnicGroup[[#This Row],[Female/ Male Salary %]]</f>
        <v>5.6270644749534693E-2</v>
      </c>
    </row>
    <row r="10" spans="1:11" ht="31.2" x14ac:dyDescent="0.3">
      <c r="A10" s="6" t="s">
        <v>31</v>
      </c>
      <c r="B10" s="14">
        <f>GenderPayGapsByRacialOrEthnicGroup[[#This Row],[Male Employees]]+GenderPayGapsByRacialOrEthnicGroup[[#This Row],[Female Employees]]</f>
        <v>41249</v>
      </c>
      <c r="C10" s="12">
        <f>GenderPayGapsByRacialOrEthnicGroup[[#This Row],[Total Employees]]/(SUM(B4:B10))</f>
        <v>2.1131670661716527E-2</v>
      </c>
      <c r="D10" s="14">
        <v>22982</v>
      </c>
      <c r="E10" s="14">
        <v>18267</v>
      </c>
      <c r="F10" s="12">
        <f>GenderPayGapsByRacialOrEthnicGroup[[#This Row],[Female Employees]]/GenderPayGapsByRacialOrEthnicGroup[[#This Row],[Total Employees]]</f>
        <v>0.44284709932361999</v>
      </c>
      <c r="G10" s="13">
        <f>((GenderPayGapsByRacialOrEthnicGroup[[#This Row],[Male Employees]]*GenderPayGapsByRacialOrEthnicGroup[[#This Row],[Male
Average Salary]])+(GenderPayGapsByRacialOrEthnicGroup[[#This Row],[Female Employees]]*GenderPayGapsByRacialOrEthnicGroup[[#This Row],[Female
Average Salary]]))/GenderPayGapsByRacialOrEthnicGroup[[#This Row],[Total Employees]]</f>
        <v>90945.042110111754</v>
      </c>
      <c r="H10" s="13">
        <v>91542</v>
      </c>
      <c r="I10" s="13">
        <v>90194</v>
      </c>
      <c r="J10" s="12">
        <f>GenderPayGapsByRacialOrEthnicGroup[[#This Row],[Female
Average Salary]]/GenderPayGapsByRacialOrEthnicGroup[[#This Row],[Male
Average Salary]]</f>
        <v>0.98527451880011363</v>
      </c>
      <c r="K10" s="12">
        <f>1-GenderPayGapsByRacialOrEthnicGroup[[#This Row],[Female/ Male Salary %]]</f>
        <v>1.472548119988637E-2</v>
      </c>
    </row>
    <row r="12" spans="1:11" ht="15.6" x14ac:dyDescent="0.3">
      <c r="A12" s="2" t="s">
        <v>0</v>
      </c>
    </row>
  </sheetData>
  <sheetProtection algorithmName="SHA-512" hashValue="abomBsh1XBNFWtprslLjD39zPGvPuAD6l8imFXY3fwSskEXE/kYCOn1Gmpeq1Kz7JHBuUJ+RFDRaAk/lRZZgRw==" saltValue="tEIGOb+WtL6K1MKGDUaWkw==" spinCount="100000" sheet="1" objects="1" scenarios="1" sort="0" autoFilter="0"/>
  <pageMargins left="0.7" right="0.7" top="0.75" bottom="0.75" header="0.3" footer="0.3"/>
  <pageSetup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Age</vt:lpstr>
      <vt:lpstr>Agency</vt:lpstr>
      <vt:lpstr>GS Grade</vt:lpstr>
      <vt:lpstr>Race or Ethnicity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Appendix: Summary of Gender Pay Gaps by Subpopulations (September 2022)</dc:title>
  <dc:creator>U.S. Office of Personnel Management</dc:creator>
  <cp:keywords>Age Category, Agency, GS Grade, Racial Ethnic Groups</cp:keywords>
  <cp:lastModifiedBy>Ngo, Tristian L. (CTR)</cp:lastModifiedBy>
  <cp:lastPrinted>2023-05-30T12:45:54Z</cp:lastPrinted>
  <dcterms:created xsi:type="dcterms:W3CDTF">2022-09-28T12:17:38Z</dcterms:created>
  <dcterms:modified xsi:type="dcterms:W3CDTF">2024-07-05T17:54:30Z</dcterms:modified>
</cp:coreProperties>
</file>