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opm365.sharepoint.com/teams/HI-BusinessSystemsTeam/Shared Documents/508/2023-03-15 2024 Community Rated Proposal Instructions/Final/"/>
    </mc:Choice>
  </mc:AlternateContent>
  <xr:revisionPtr revIDLastSave="4" documentId="13_ncr:1_{85FAA4F0-0CD6-4410-B403-BBC7895AD458}" xr6:coauthVersionLast="47" xr6:coauthVersionMax="47" xr10:uidLastSave="{42D4E9F3-6226-48E6-95BD-438E7B764E0C}"/>
  <bookViews>
    <workbookView xWindow="28680" yWindow="-120" windowWidth="29040" windowHeight="15840" xr2:uid="{00000000-000D-0000-FFFF-FFFF00000000}"/>
  </bookViews>
  <sheets>
    <sheet name="Attachment I (Small Carriers)" sheetId="9" r:id="rId1"/>
    <sheet name="Attachment IA (Small Carriers)" sheetId="11" r:id="rId2"/>
    <sheet name="Attachment II" sheetId="2" r:id="rId3"/>
    <sheet name="Attachment IIB (QG21-24 Large)" sheetId="12" r:id="rId4"/>
    <sheet name="Backup Line 1 - TCR &amp; CRC" sheetId="4" r:id="rId5"/>
    <sheet name="Backup Line 1 - ACR" sheetId="5" r:id="rId6"/>
    <sheet name="Medicare Loading Form" sheetId="7" r:id="rId7"/>
    <sheet name="Potential SSSGs Form" sheetId="8" r:id="rId8"/>
    <sheet name="Special Benefits Form" sheetId="6" r:id="rId9"/>
  </sheets>
  <externalReferences>
    <externalReference r:id="rId10"/>
  </externalReferences>
  <definedNames>
    <definedName name="Data">[1]data!$A$3:$PW$3</definedName>
    <definedName name="ID">[1]Controls!$B$1</definedName>
    <definedName name="_xlnm.Print_Area" localSheetId="2">'Attachment II'!$A$1:$D$21</definedName>
    <definedName name="year">'Attachment II'!$B$5</definedName>
    <definedName name="year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 r="A25" i="2"/>
  <c r="A23" i="2"/>
  <c r="A14" i="9" l="1"/>
  <c r="A1" i="11"/>
  <c r="A146" i="11"/>
  <c r="B146" i="11"/>
  <c r="C146" i="11"/>
  <c r="D146" i="11"/>
  <c r="A147" i="11"/>
  <c r="B147" i="11"/>
  <c r="C147" i="11"/>
  <c r="D147" i="11"/>
  <c r="A148" i="11"/>
  <c r="B148" i="11"/>
  <c r="C148" i="11"/>
  <c r="D148" i="11"/>
  <c r="A149" i="11"/>
  <c r="B149" i="11"/>
  <c r="C149" i="11"/>
  <c r="D149" i="11"/>
  <c r="A150" i="11"/>
  <c r="B150" i="11"/>
  <c r="C150" i="11"/>
  <c r="D150" i="11"/>
  <c r="A151" i="11"/>
  <c r="B151" i="11"/>
  <c r="C151" i="11"/>
  <c r="D151" i="11"/>
  <c r="A152" i="11"/>
  <c r="B152" i="11"/>
  <c r="C152" i="11"/>
  <c r="D152" i="11"/>
  <c r="A153" i="11"/>
  <c r="B153" i="11"/>
  <c r="C153" i="11"/>
  <c r="D153" i="11"/>
  <c r="A154" i="11"/>
  <c r="B154" i="11"/>
  <c r="C154" i="11"/>
  <c r="D154" i="11"/>
  <c r="A155" i="11"/>
  <c r="B155" i="11"/>
  <c r="C155" i="11"/>
  <c r="D155" i="11"/>
  <c r="A156" i="11"/>
  <c r="B156" i="11"/>
  <c r="C156" i="11"/>
  <c r="D156" i="11"/>
  <c r="A157" i="11"/>
  <c r="B157" i="11"/>
  <c r="C157" i="11"/>
  <c r="D157" i="11"/>
  <c r="A158" i="11"/>
  <c r="B158" i="11"/>
  <c r="C158" i="11"/>
  <c r="D158" i="11"/>
  <c r="A159" i="11"/>
  <c r="B159" i="11"/>
  <c r="C159" i="11"/>
  <c r="D159" i="11"/>
  <c r="A160" i="11"/>
  <c r="B160" i="11"/>
  <c r="C160" i="11"/>
  <c r="D160" i="11"/>
  <c r="A161" i="11"/>
  <c r="B161" i="11"/>
  <c r="C161" i="11"/>
  <c r="D161" i="11"/>
  <c r="A162" i="11"/>
  <c r="B162" i="11"/>
  <c r="C162" i="11"/>
  <c r="D162" i="11"/>
  <c r="A163" i="11"/>
  <c r="B163" i="11"/>
  <c r="C163" i="11"/>
  <c r="D163" i="11"/>
  <c r="A164" i="11"/>
  <c r="B164" i="11"/>
  <c r="C164" i="11"/>
  <c r="D164" i="11"/>
  <c r="A165" i="11"/>
  <c r="B165" i="11"/>
  <c r="C165" i="11"/>
  <c r="D165" i="11"/>
  <c r="A166" i="11"/>
  <c r="B166" i="11"/>
  <c r="C166" i="11"/>
  <c r="D166" i="11"/>
  <c r="A167" i="11"/>
  <c r="B167" i="11"/>
  <c r="C167" i="11"/>
  <c r="D167" i="11"/>
  <c r="A168" i="11"/>
  <c r="B168" i="11"/>
  <c r="C168" i="11"/>
  <c r="D168" i="11"/>
  <c r="A169" i="11"/>
  <c r="B169" i="11"/>
  <c r="C169" i="11"/>
  <c r="D169" i="11"/>
  <c r="A170" i="11"/>
  <c r="B170" i="11"/>
  <c r="C170" i="11"/>
  <c r="D170" i="11"/>
  <c r="A171" i="11"/>
  <c r="B171" i="11"/>
  <c r="C171" i="11"/>
  <c r="D171" i="11"/>
  <c r="A172" i="11"/>
  <c r="B172" i="11"/>
  <c r="C172" i="11"/>
  <c r="D172" i="11"/>
  <c r="A173" i="11"/>
  <c r="B173" i="11"/>
  <c r="C173" i="11"/>
  <c r="D173" i="11"/>
  <c r="A174" i="11"/>
  <c r="B174" i="11"/>
  <c r="C174" i="11"/>
  <c r="D174" i="11"/>
  <c r="A175" i="11"/>
  <c r="B175" i="11"/>
  <c r="C175" i="11"/>
  <c r="D175" i="11"/>
  <c r="C18" i="11"/>
  <c r="AQ20" i="9"/>
  <c r="AQ21" i="9"/>
  <c r="AQ22" i="9"/>
  <c r="AQ23" i="9"/>
  <c r="AQ24" i="9"/>
  <c r="AQ25" i="9"/>
  <c r="AQ26" i="9"/>
  <c r="AQ27" i="9"/>
  <c r="AQ28" i="9"/>
  <c r="AQ29" i="9"/>
  <c r="AQ30" i="9"/>
  <c r="AQ31" i="9"/>
  <c r="AQ32" i="9"/>
  <c r="AQ33" i="9"/>
  <c r="AQ34" i="9"/>
  <c r="AQ35" i="9"/>
  <c r="AQ36" i="9"/>
  <c r="AQ37" i="9"/>
  <c r="AQ38" i="9"/>
  <c r="AQ39" i="9"/>
  <c r="AQ40" i="9"/>
  <c r="AQ41" i="9"/>
  <c r="AQ42" i="9"/>
  <c r="AQ43" i="9"/>
  <c r="AQ44" i="9"/>
  <c r="AQ45" i="9"/>
  <c r="AQ46" i="9"/>
  <c r="AQ47" i="9"/>
  <c r="AQ48" i="9"/>
  <c r="AQ49" i="9"/>
  <c r="AQ50" i="9"/>
  <c r="AQ51" i="9"/>
  <c r="AQ52" i="9"/>
  <c r="AQ53" i="9"/>
  <c r="AQ54" i="9"/>
  <c r="AQ55" i="9"/>
  <c r="AQ56" i="9"/>
  <c r="AQ57" i="9"/>
  <c r="AQ58" i="9"/>
  <c r="AQ59" i="9"/>
  <c r="AQ60" i="9"/>
  <c r="AQ61" i="9"/>
  <c r="AQ62" i="9"/>
  <c r="AQ63" i="9"/>
  <c r="AQ64" i="9"/>
  <c r="AQ65" i="9"/>
  <c r="AQ66" i="9"/>
  <c r="AQ67" i="9"/>
  <c r="AQ68" i="9"/>
  <c r="AQ69" i="9"/>
  <c r="AQ70" i="9"/>
  <c r="AQ71" i="9"/>
  <c r="AQ72" i="9"/>
  <c r="AQ73" i="9"/>
  <c r="AQ74" i="9"/>
  <c r="AQ75" i="9"/>
  <c r="AQ76" i="9"/>
  <c r="AQ77" i="9"/>
  <c r="AQ78" i="9"/>
  <c r="AQ79" i="9"/>
  <c r="AQ80" i="9"/>
  <c r="AQ81" i="9"/>
  <c r="AQ82" i="9"/>
  <c r="AQ83" i="9"/>
  <c r="AQ84" i="9"/>
  <c r="AQ85" i="9"/>
  <c r="AQ86" i="9"/>
  <c r="AQ87" i="9"/>
  <c r="AQ88" i="9"/>
  <c r="AQ89" i="9"/>
  <c r="AQ90" i="9"/>
  <c r="AQ91" i="9"/>
  <c r="AQ92" i="9"/>
  <c r="AQ93" i="9"/>
  <c r="AQ94" i="9"/>
  <c r="AQ95" i="9"/>
  <c r="AQ96" i="9"/>
  <c r="AQ97" i="9"/>
  <c r="AQ98" i="9"/>
  <c r="AQ99" i="9"/>
  <c r="AQ100" i="9"/>
  <c r="AQ101" i="9"/>
  <c r="AQ102" i="9"/>
  <c r="AQ103" i="9"/>
  <c r="AQ104" i="9"/>
  <c r="AQ105" i="9"/>
  <c r="AQ106" i="9"/>
  <c r="AQ107" i="9"/>
  <c r="AQ108" i="9"/>
  <c r="AQ109" i="9"/>
  <c r="AQ110" i="9"/>
  <c r="AQ111" i="9"/>
  <c r="AQ112" i="9"/>
  <c r="AQ113" i="9"/>
  <c r="AQ114" i="9"/>
  <c r="AQ115" i="9"/>
  <c r="AQ116" i="9"/>
  <c r="AQ117" i="9"/>
  <c r="AQ118" i="9"/>
  <c r="AQ119" i="9"/>
  <c r="AQ120" i="9"/>
  <c r="AQ121" i="9"/>
  <c r="AQ122" i="9"/>
  <c r="AQ123" i="9"/>
  <c r="AQ124" i="9"/>
  <c r="AQ125" i="9"/>
  <c r="AQ126" i="9"/>
  <c r="AQ127" i="9"/>
  <c r="AQ128" i="9"/>
  <c r="AQ129" i="9"/>
  <c r="AQ130" i="9"/>
  <c r="AQ131" i="9"/>
  <c r="AQ132" i="9"/>
  <c r="AQ133" i="9"/>
  <c r="AQ134" i="9"/>
  <c r="AQ135" i="9"/>
  <c r="AQ136" i="9"/>
  <c r="AQ137" i="9"/>
  <c r="AQ138" i="9"/>
  <c r="AQ139" i="9"/>
  <c r="AQ140" i="9"/>
  <c r="AQ141" i="9"/>
  <c r="AQ142" i="9"/>
  <c r="AQ143" i="9"/>
  <c r="AQ144" i="9"/>
  <c r="AQ145" i="9"/>
  <c r="AQ146" i="9"/>
  <c r="AQ147" i="9"/>
  <c r="AQ148" i="9"/>
  <c r="AQ149" i="9"/>
  <c r="AQ150" i="9"/>
  <c r="AQ151" i="9"/>
  <c r="AQ152" i="9"/>
  <c r="AQ153" i="9"/>
  <c r="AQ154" i="9"/>
  <c r="AQ155" i="9"/>
  <c r="AQ156" i="9"/>
  <c r="AQ157" i="9"/>
  <c r="AQ158" i="9"/>
  <c r="AQ159" i="9"/>
  <c r="AQ160" i="9"/>
  <c r="AQ161" i="9"/>
  <c r="AQ162" i="9"/>
  <c r="AQ163" i="9"/>
  <c r="AQ164" i="9"/>
  <c r="AQ165" i="9"/>
  <c r="AQ166" i="9"/>
  <c r="AQ167" i="9"/>
  <c r="AQ168" i="9"/>
  <c r="AQ169" i="9"/>
  <c r="AQ170" i="9"/>
  <c r="AQ171" i="9"/>
  <c r="AQ172" i="9"/>
  <c r="AQ173" i="9"/>
  <c r="AQ174" i="9"/>
  <c r="AQ175" i="9"/>
  <c r="AQ176" i="9"/>
  <c r="AQ177" i="9"/>
  <c r="AQ178" i="9"/>
  <c r="AQ179" i="9"/>
  <c r="AQ180" i="9"/>
  <c r="AQ181" i="9"/>
  <c r="AQ19" i="9"/>
  <c r="AP20" i="9"/>
  <c r="AP21" i="9"/>
  <c r="AP22" i="9"/>
  <c r="AP23" i="9"/>
  <c r="AP24" i="9"/>
  <c r="AP25" i="9"/>
  <c r="AP26" i="9"/>
  <c r="AP27" i="9"/>
  <c r="AP28" i="9"/>
  <c r="AP29" i="9"/>
  <c r="AP30" i="9"/>
  <c r="AP31" i="9"/>
  <c r="AP32" i="9"/>
  <c r="AP33" i="9"/>
  <c r="AP34" i="9"/>
  <c r="AP35" i="9"/>
  <c r="AP36" i="9"/>
  <c r="AP37" i="9"/>
  <c r="AP38" i="9"/>
  <c r="AP39" i="9"/>
  <c r="AP40" i="9"/>
  <c r="AP41" i="9"/>
  <c r="AP42" i="9"/>
  <c r="AP43" i="9"/>
  <c r="AP44" i="9"/>
  <c r="AP45" i="9"/>
  <c r="AP46" i="9"/>
  <c r="AP47" i="9"/>
  <c r="AP48" i="9"/>
  <c r="AP49" i="9"/>
  <c r="AP50" i="9"/>
  <c r="AP51" i="9"/>
  <c r="AP52" i="9"/>
  <c r="AP53" i="9"/>
  <c r="AP54" i="9"/>
  <c r="AP55" i="9"/>
  <c r="AP56" i="9"/>
  <c r="AP57" i="9"/>
  <c r="AP58" i="9"/>
  <c r="AP59" i="9"/>
  <c r="AP60" i="9"/>
  <c r="AP61" i="9"/>
  <c r="AP62" i="9"/>
  <c r="AP63" i="9"/>
  <c r="AP64" i="9"/>
  <c r="AP65" i="9"/>
  <c r="AP66" i="9"/>
  <c r="AP67" i="9"/>
  <c r="AP68" i="9"/>
  <c r="AP69" i="9"/>
  <c r="AP70" i="9"/>
  <c r="AP71" i="9"/>
  <c r="AP72" i="9"/>
  <c r="AP73" i="9"/>
  <c r="AP74" i="9"/>
  <c r="AP75" i="9"/>
  <c r="AP76" i="9"/>
  <c r="AP77" i="9"/>
  <c r="AP78" i="9"/>
  <c r="AP79" i="9"/>
  <c r="AP80" i="9"/>
  <c r="AP81" i="9"/>
  <c r="AP82" i="9"/>
  <c r="AP83" i="9"/>
  <c r="AP84" i="9"/>
  <c r="AP85" i="9"/>
  <c r="AP86" i="9"/>
  <c r="AP87" i="9"/>
  <c r="AP88" i="9"/>
  <c r="AP89" i="9"/>
  <c r="AP90" i="9"/>
  <c r="AP91" i="9"/>
  <c r="AP92" i="9"/>
  <c r="AP93" i="9"/>
  <c r="AP94" i="9"/>
  <c r="AP95" i="9"/>
  <c r="AP96" i="9"/>
  <c r="AP97" i="9"/>
  <c r="AP98" i="9"/>
  <c r="AP99" i="9"/>
  <c r="AP100" i="9"/>
  <c r="AP101" i="9"/>
  <c r="AP102" i="9"/>
  <c r="AP103" i="9"/>
  <c r="AP104" i="9"/>
  <c r="AP105" i="9"/>
  <c r="AP106" i="9"/>
  <c r="AP107" i="9"/>
  <c r="AP108" i="9"/>
  <c r="AP109" i="9"/>
  <c r="AP110" i="9"/>
  <c r="AP111" i="9"/>
  <c r="AP112" i="9"/>
  <c r="AP113" i="9"/>
  <c r="AP114" i="9"/>
  <c r="AP115" i="9"/>
  <c r="AP116" i="9"/>
  <c r="AP117" i="9"/>
  <c r="AP118" i="9"/>
  <c r="AP119" i="9"/>
  <c r="AP120" i="9"/>
  <c r="AP121" i="9"/>
  <c r="AP122" i="9"/>
  <c r="AP123" i="9"/>
  <c r="AP124" i="9"/>
  <c r="AP125" i="9"/>
  <c r="AP126" i="9"/>
  <c r="AP127" i="9"/>
  <c r="AP128" i="9"/>
  <c r="AP129" i="9"/>
  <c r="AP130" i="9"/>
  <c r="AP131" i="9"/>
  <c r="AP132" i="9"/>
  <c r="AP133" i="9"/>
  <c r="AP134" i="9"/>
  <c r="AP135" i="9"/>
  <c r="AP136" i="9"/>
  <c r="AP137" i="9"/>
  <c r="AP138" i="9"/>
  <c r="AP139" i="9"/>
  <c r="AP140" i="9"/>
  <c r="AP141" i="9"/>
  <c r="AP142" i="9"/>
  <c r="AP143" i="9"/>
  <c r="AP144" i="9"/>
  <c r="AP145" i="9"/>
  <c r="AP146" i="9"/>
  <c r="AP147" i="9"/>
  <c r="AP148" i="9"/>
  <c r="AP149" i="9"/>
  <c r="AP150" i="9"/>
  <c r="AP151" i="9"/>
  <c r="AP152" i="9"/>
  <c r="AP153" i="9"/>
  <c r="AP154" i="9"/>
  <c r="AP155" i="9"/>
  <c r="AP156" i="9"/>
  <c r="AP157" i="9"/>
  <c r="AP158" i="9"/>
  <c r="AP159" i="9"/>
  <c r="AP160" i="9"/>
  <c r="AP161" i="9"/>
  <c r="AP162" i="9"/>
  <c r="AP163" i="9"/>
  <c r="AP164" i="9"/>
  <c r="AP165" i="9"/>
  <c r="AP166" i="9"/>
  <c r="AP167" i="9"/>
  <c r="AP168" i="9"/>
  <c r="AP169" i="9"/>
  <c r="AP170" i="9"/>
  <c r="AP171" i="9"/>
  <c r="AP172" i="9"/>
  <c r="AP173" i="9"/>
  <c r="AP174" i="9"/>
  <c r="AP175" i="9"/>
  <c r="AP176" i="9"/>
  <c r="AP177" i="9"/>
  <c r="AP178" i="9"/>
  <c r="AP179" i="9"/>
  <c r="AP180" i="9"/>
  <c r="AP181" i="9"/>
  <c r="AP19" i="9"/>
  <c r="AO20" i="9"/>
  <c r="AO21" i="9"/>
  <c r="AO22" i="9"/>
  <c r="AO23" i="9"/>
  <c r="AO24" i="9"/>
  <c r="AO25" i="9"/>
  <c r="AO26" i="9"/>
  <c r="AO27" i="9"/>
  <c r="AO28" i="9"/>
  <c r="AO29" i="9"/>
  <c r="AO30" i="9"/>
  <c r="AO31" i="9"/>
  <c r="AO32" i="9"/>
  <c r="AO33" i="9"/>
  <c r="AO34" i="9"/>
  <c r="AO35" i="9"/>
  <c r="AO36" i="9"/>
  <c r="AO37" i="9"/>
  <c r="AO38" i="9"/>
  <c r="AO39" i="9"/>
  <c r="AO40" i="9"/>
  <c r="AO41" i="9"/>
  <c r="AO42" i="9"/>
  <c r="AO43" i="9"/>
  <c r="AO44" i="9"/>
  <c r="AO45" i="9"/>
  <c r="AO46" i="9"/>
  <c r="AO47" i="9"/>
  <c r="AO48" i="9"/>
  <c r="AO49" i="9"/>
  <c r="AO50" i="9"/>
  <c r="AO51" i="9"/>
  <c r="AO52" i="9"/>
  <c r="AO53" i="9"/>
  <c r="AO54" i="9"/>
  <c r="AO55" i="9"/>
  <c r="AO56" i="9"/>
  <c r="AO57" i="9"/>
  <c r="AO58" i="9"/>
  <c r="AO59" i="9"/>
  <c r="AO60" i="9"/>
  <c r="AO61" i="9"/>
  <c r="AO62" i="9"/>
  <c r="AO63" i="9"/>
  <c r="AO64" i="9"/>
  <c r="AO65" i="9"/>
  <c r="AO66" i="9"/>
  <c r="AO67" i="9"/>
  <c r="AO68" i="9"/>
  <c r="AO69" i="9"/>
  <c r="AO70" i="9"/>
  <c r="AO71" i="9"/>
  <c r="AO72" i="9"/>
  <c r="AO73" i="9"/>
  <c r="AO74" i="9"/>
  <c r="AO75" i="9"/>
  <c r="AO76" i="9"/>
  <c r="AO77" i="9"/>
  <c r="AO78" i="9"/>
  <c r="AO79" i="9"/>
  <c r="AO80" i="9"/>
  <c r="AO81" i="9"/>
  <c r="AO82" i="9"/>
  <c r="AO83" i="9"/>
  <c r="AO84" i="9"/>
  <c r="AO85" i="9"/>
  <c r="AO86" i="9"/>
  <c r="AO87" i="9"/>
  <c r="AO88" i="9"/>
  <c r="AO89" i="9"/>
  <c r="AO90" i="9"/>
  <c r="AO91" i="9"/>
  <c r="AO92" i="9"/>
  <c r="AO93" i="9"/>
  <c r="AO94" i="9"/>
  <c r="AO95" i="9"/>
  <c r="AO96" i="9"/>
  <c r="AO97" i="9"/>
  <c r="AO98" i="9"/>
  <c r="AO99" i="9"/>
  <c r="AO100" i="9"/>
  <c r="AO101" i="9"/>
  <c r="AO102" i="9"/>
  <c r="AO103" i="9"/>
  <c r="AO104" i="9"/>
  <c r="AO105" i="9"/>
  <c r="AO106" i="9"/>
  <c r="AO107" i="9"/>
  <c r="AO108" i="9"/>
  <c r="AO109" i="9"/>
  <c r="AO110" i="9"/>
  <c r="AO111" i="9"/>
  <c r="AO112" i="9"/>
  <c r="AO113" i="9"/>
  <c r="AO114" i="9"/>
  <c r="AO115" i="9"/>
  <c r="AO116" i="9"/>
  <c r="AO117" i="9"/>
  <c r="AO118" i="9"/>
  <c r="AO119" i="9"/>
  <c r="AO120" i="9"/>
  <c r="AO121" i="9"/>
  <c r="AO122" i="9"/>
  <c r="AO123" i="9"/>
  <c r="AO124" i="9"/>
  <c r="AO125" i="9"/>
  <c r="AO126" i="9"/>
  <c r="AO127" i="9"/>
  <c r="AO128" i="9"/>
  <c r="AO129" i="9"/>
  <c r="AO130" i="9"/>
  <c r="AO131" i="9"/>
  <c r="AO132" i="9"/>
  <c r="AO133" i="9"/>
  <c r="AO134" i="9"/>
  <c r="AO135" i="9"/>
  <c r="AO136" i="9"/>
  <c r="AO137" i="9"/>
  <c r="AO138" i="9"/>
  <c r="AO139" i="9"/>
  <c r="AO140" i="9"/>
  <c r="AO141" i="9"/>
  <c r="AO142" i="9"/>
  <c r="AO143" i="9"/>
  <c r="AO144" i="9"/>
  <c r="AO145" i="9"/>
  <c r="AO146" i="9"/>
  <c r="AO147" i="9"/>
  <c r="AO148" i="9"/>
  <c r="AO149" i="9"/>
  <c r="AO150" i="9"/>
  <c r="AO151" i="9"/>
  <c r="AO152" i="9"/>
  <c r="AO153" i="9"/>
  <c r="AO154" i="9"/>
  <c r="AO155" i="9"/>
  <c r="AO156" i="9"/>
  <c r="AO157" i="9"/>
  <c r="AO158" i="9"/>
  <c r="AO159" i="9"/>
  <c r="AO160" i="9"/>
  <c r="AO161" i="9"/>
  <c r="AO162" i="9"/>
  <c r="AO163" i="9"/>
  <c r="AO164" i="9"/>
  <c r="AO165" i="9"/>
  <c r="AO166" i="9"/>
  <c r="AO167" i="9"/>
  <c r="AO168" i="9"/>
  <c r="AO169" i="9"/>
  <c r="AO170" i="9"/>
  <c r="AO171" i="9"/>
  <c r="AO172" i="9"/>
  <c r="AO173" i="9"/>
  <c r="AO174" i="9"/>
  <c r="AO175" i="9"/>
  <c r="AO176" i="9"/>
  <c r="AO177" i="9"/>
  <c r="AO178" i="9"/>
  <c r="AO179" i="9"/>
  <c r="AO180" i="9"/>
  <c r="AO181" i="9"/>
  <c r="AO19" i="9"/>
  <c r="AL36" i="9"/>
  <c r="AN19" i="9"/>
  <c r="AN20" i="9"/>
  <c r="AL27" i="9"/>
  <c r="AM27" i="9"/>
  <c r="AM24" i="9"/>
  <c r="AM19" i="9"/>
  <c r="AN27" i="9"/>
  <c r="AL21" i="9"/>
  <c r="AL20" i="9"/>
  <c r="AK20" i="9"/>
  <c r="AK21" i="9"/>
  <c r="AK22" i="9"/>
  <c r="AK23" i="9"/>
  <c r="AK24" i="9"/>
  <c r="AK25" i="9"/>
  <c r="AK26" i="9"/>
  <c r="AK27" i="9"/>
  <c r="AK28" i="9"/>
  <c r="AK29" i="9"/>
  <c r="AK30" i="9"/>
  <c r="AK31" i="9"/>
  <c r="AK32" i="9"/>
  <c r="AK33" i="9"/>
  <c r="AK34" i="9"/>
  <c r="AK35" i="9"/>
  <c r="AK36" i="9"/>
  <c r="AK37" i="9"/>
  <c r="AK38" i="9"/>
  <c r="AK39" i="9"/>
  <c r="AK40" i="9"/>
  <c r="AK41" i="9"/>
  <c r="AK42" i="9"/>
  <c r="AK43" i="9"/>
  <c r="AK44" i="9"/>
  <c r="AK45" i="9"/>
  <c r="AK46" i="9"/>
  <c r="AK47" i="9"/>
  <c r="AK48" i="9"/>
  <c r="AK49" i="9"/>
  <c r="AK50" i="9"/>
  <c r="AK51" i="9"/>
  <c r="AK52" i="9"/>
  <c r="AK53" i="9"/>
  <c r="AK54" i="9"/>
  <c r="AK55" i="9"/>
  <c r="AK56" i="9"/>
  <c r="AK57" i="9"/>
  <c r="AK58" i="9"/>
  <c r="AK59" i="9"/>
  <c r="AK60" i="9"/>
  <c r="AK61" i="9"/>
  <c r="AK62" i="9"/>
  <c r="AK63" i="9"/>
  <c r="AK64" i="9"/>
  <c r="AK65" i="9"/>
  <c r="AK66" i="9"/>
  <c r="AK67" i="9"/>
  <c r="AK68" i="9"/>
  <c r="AK69" i="9"/>
  <c r="AK70" i="9"/>
  <c r="AK71" i="9"/>
  <c r="AK72" i="9"/>
  <c r="AK73" i="9"/>
  <c r="AK74" i="9"/>
  <c r="AK75" i="9"/>
  <c r="AK76" i="9"/>
  <c r="AK77" i="9"/>
  <c r="AK78" i="9"/>
  <c r="AK79" i="9"/>
  <c r="AK80" i="9"/>
  <c r="AK81" i="9"/>
  <c r="AK82" i="9"/>
  <c r="AK83" i="9"/>
  <c r="AK84" i="9"/>
  <c r="AK85" i="9"/>
  <c r="AK86" i="9"/>
  <c r="AK87" i="9"/>
  <c r="AK88" i="9"/>
  <c r="AK89" i="9"/>
  <c r="AK90" i="9"/>
  <c r="AK91" i="9"/>
  <c r="AK92" i="9"/>
  <c r="AK93" i="9"/>
  <c r="AK94" i="9"/>
  <c r="AK95" i="9"/>
  <c r="AK96" i="9"/>
  <c r="AK97" i="9"/>
  <c r="AK98" i="9"/>
  <c r="AK99" i="9"/>
  <c r="AK100" i="9"/>
  <c r="AK101" i="9"/>
  <c r="AK102" i="9"/>
  <c r="AK103" i="9"/>
  <c r="AK104" i="9"/>
  <c r="AK105" i="9"/>
  <c r="AK106" i="9"/>
  <c r="AK107" i="9"/>
  <c r="AK108" i="9"/>
  <c r="AK109" i="9"/>
  <c r="AK110" i="9"/>
  <c r="AK111" i="9"/>
  <c r="AK112" i="9"/>
  <c r="AK113" i="9"/>
  <c r="AK114" i="9"/>
  <c r="AK115" i="9"/>
  <c r="AK116" i="9"/>
  <c r="AK117" i="9"/>
  <c r="AK118" i="9"/>
  <c r="AK119" i="9"/>
  <c r="AK120" i="9"/>
  <c r="AK121" i="9"/>
  <c r="AK122" i="9"/>
  <c r="AK123" i="9"/>
  <c r="AK124" i="9"/>
  <c r="AK125" i="9"/>
  <c r="AK126" i="9"/>
  <c r="AK127" i="9"/>
  <c r="AK128" i="9"/>
  <c r="AK129" i="9"/>
  <c r="AK130" i="9"/>
  <c r="AK131" i="9"/>
  <c r="AK132" i="9"/>
  <c r="AK133" i="9"/>
  <c r="AK134" i="9"/>
  <c r="AK135" i="9"/>
  <c r="AK136" i="9"/>
  <c r="AK137" i="9"/>
  <c r="AK138" i="9"/>
  <c r="AK139" i="9"/>
  <c r="AK140" i="9"/>
  <c r="AK141" i="9"/>
  <c r="AK142" i="9"/>
  <c r="AK143" i="9"/>
  <c r="AK144" i="9"/>
  <c r="AK145" i="9"/>
  <c r="AK146" i="9"/>
  <c r="AK147" i="9"/>
  <c r="AK148" i="9"/>
  <c r="AK149" i="9"/>
  <c r="AK150" i="9"/>
  <c r="AK151" i="9"/>
  <c r="AK152" i="9"/>
  <c r="AK153" i="9"/>
  <c r="AK154" i="9"/>
  <c r="AK155" i="9"/>
  <c r="AK156" i="9"/>
  <c r="AK157" i="9"/>
  <c r="AK158" i="9"/>
  <c r="AK159" i="9"/>
  <c r="AK160" i="9"/>
  <c r="AK161" i="9"/>
  <c r="AK162" i="9"/>
  <c r="AK163" i="9"/>
  <c r="AK164" i="9"/>
  <c r="AK165" i="9"/>
  <c r="AK166" i="9"/>
  <c r="AK167" i="9"/>
  <c r="AK168" i="9"/>
  <c r="AK169" i="9"/>
  <c r="AK170" i="9"/>
  <c r="AK171" i="9"/>
  <c r="AK172" i="9"/>
  <c r="AK173" i="9"/>
  <c r="AK174" i="9"/>
  <c r="AK175" i="9"/>
  <c r="AK176" i="9"/>
  <c r="AK177" i="9"/>
  <c r="AK178" i="9"/>
  <c r="AK179" i="9"/>
  <c r="AK180" i="9"/>
  <c r="AK181" i="9"/>
  <c r="AK19" i="9"/>
  <c r="AJ20" i="9"/>
  <c r="AJ21" i="9"/>
  <c r="AJ22" i="9"/>
  <c r="AJ23" i="9"/>
  <c r="AJ24" i="9"/>
  <c r="AJ25" i="9"/>
  <c r="AJ26" i="9"/>
  <c r="AJ27" i="9"/>
  <c r="AJ28" i="9"/>
  <c r="AJ29" i="9"/>
  <c r="AJ30" i="9"/>
  <c r="AJ31" i="9"/>
  <c r="AJ32" i="9"/>
  <c r="AJ33" i="9"/>
  <c r="AJ34" i="9"/>
  <c r="AJ35" i="9"/>
  <c r="AJ36" i="9"/>
  <c r="AJ37" i="9"/>
  <c r="AJ38" i="9"/>
  <c r="AJ39" i="9"/>
  <c r="AJ40" i="9"/>
  <c r="AJ41" i="9"/>
  <c r="AJ42" i="9"/>
  <c r="AJ43" i="9"/>
  <c r="AJ44" i="9"/>
  <c r="AJ45" i="9"/>
  <c r="AJ46" i="9"/>
  <c r="AJ47" i="9"/>
  <c r="AJ48" i="9"/>
  <c r="AJ49" i="9"/>
  <c r="AJ50" i="9"/>
  <c r="AJ51" i="9"/>
  <c r="AJ52" i="9"/>
  <c r="AJ53" i="9"/>
  <c r="AJ54" i="9"/>
  <c r="AJ55" i="9"/>
  <c r="AJ56" i="9"/>
  <c r="AJ57" i="9"/>
  <c r="AJ58" i="9"/>
  <c r="AJ59" i="9"/>
  <c r="AJ60" i="9"/>
  <c r="AJ61" i="9"/>
  <c r="AJ62" i="9"/>
  <c r="AJ63" i="9"/>
  <c r="AJ64" i="9"/>
  <c r="AJ65" i="9"/>
  <c r="AJ66" i="9"/>
  <c r="AJ67" i="9"/>
  <c r="AJ68" i="9"/>
  <c r="AJ69" i="9"/>
  <c r="AJ70" i="9"/>
  <c r="AJ71" i="9"/>
  <c r="AJ72" i="9"/>
  <c r="AJ73" i="9"/>
  <c r="AJ74" i="9"/>
  <c r="AJ75" i="9"/>
  <c r="AJ76" i="9"/>
  <c r="AJ77" i="9"/>
  <c r="AJ78" i="9"/>
  <c r="AJ79" i="9"/>
  <c r="AJ80" i="9"/>
  <c r="AJ81" i="9"/>
  <c r="AJ82" i="9"/>
  <c r="AJ83" i="9"/>
  <c r="AJ84" i="9"/>
  <c r="AJ85" i="9"/>
  <c r="AJ86" i="9"/>
  <c r="AJ87" i="9"/>
  <c r="AJ88" i="9"/>
  <c r="AJ89" i="9"/>
  <c r="AJ90" i="9"/>
  <c r="AJ91" i="9"/>
  <c r="AJ92" i="9"/>
  <c r="AJ93" i="9"/>
  <c r="AJ94" i="9"/>
  <c r="AJ95" i="9"/>
  <c r="AJ96" i="9"/>
  <c r="AJ97" i="9"/>
  <c r="AJ98" i="9"/>
  <c r="AJ99" i="9"/>
  <c r="AJ100" i="9"/>
  <c r="AJ101" i="9"/>
  <c r="AJ102" i="9"/>
  <c r="AJ103" i="9"/>
  <c r="AJ104" i="9"/>
  <c r="AJ105" i="9"/>
  <c r="AJ106" i="9"/>
  <c r="AJ107" i="9"/>
  <c r="AJ108" i="9"/>
  <c r="AJ109" i="9"/>
  <c r="AJ110" i="9"/>
  <c r="AJ111" i="9"/>
  <c r="AJ112" i="9"/>
  <c r="AJ113" i="9"/>
  <c r="AJ114" i="9"/>
  <c r="AJ115" i="9"/>
  <c r="AJ116" i="9"/>
  <c r="AJ117" i="9"/>
  <c r="AJ118" i="9"/>
  <c r="AJ119" i="9"/>
  <c r="AJ120" i="9"/>
  <c r="AJ121" i="9"/>
  <c r="AJ122" i="9"/>
  <c r="AJ123" i="9"/>
  <c r="AJ124" i="9"/>
  <c r="AJ125" i="9"/>
  <c r="AJ126" i="9"/>
  <c r="AJ127" i="9"/>
  <c r="AJ128" i="9"/>
  <c r="AJ129" i="9"/>
  <c r="AJ130" i="9"/>
  <c r="AJ131" i="9"/>
  <c r="AJ132" i="9"/>
  <c r="AJ133" i="9"/>
  <c r="AJ134" i="9"/>
  <c r="AJ135" i="9"/>
  <c r="AJ136" i="9"/>
  <c r="AJ137" i="9"/>
  <c r="AJ138" i="9"/>
  <c r="AJ139" i="9"/>
  <c r="AJ140" i="9"/>
  <c r="AJ141" i="9"/>
  <c r="AJ142" i="9"/>
  <c r="AJ143" i="9"/>
  <c r="AJ144" i="9"/>
  <c r="AJ145" i="9"/>
  <c r="AJ146" i="9"/>
  <c r="AJ147" i="9"/>
  <c r="AJ148" i="9"/>
  <c r="AJ149" i="9"/>
  <c r="AJ150" i="9"/>
  <c r="AJ151" i="9"/>
  <c r="AJ152" i="9"/>
  <c r="AJ153" i="9"/>
  <c r="AJ154" i="9"/>
  <c r="AJ155" i="9"/>
  <c r="AJ156" i="9"/>
  <c r="AJ157" i="9"/>
  <c r="AJ158" i="9"/>
  <c r="AJ159" i="9"/>
  <c r="AJ160" i="9"/>
  <c r="AJ161" i="9"/>
  <c r="AJ162" i="9"/>
  <c r="AJ163" i="9"/>
  <c r="AJ164" i="9"/>
  <c r="AJ165" i="9"/>
  <c r="AJ166" i="9"/>
  <c r="AJ167" i="9"/>
  <c r="AJ168" i="9"/>
  <c r="AJ169" i="9"/>
  <c r="AJ170" i="9"/>
  <c r="AJ171" i="9"/>
  <c r="AJ172" i="9"/>
  <c r="AJ173" i="9"/>
  <c r="AJ174" i="9"/>
  <c r="AJ175" i="9"/>
  <c r="AJ176" i="9"/>
  <c r="AJ177" i="9"/>
  <c r="AJ178" i="9"/>
  <c r="AJ179" i="9"/>
  <c r="AJ180" i="9"/>
  <c r="AJ181" i="9"/>
  <c r="AJ19" i="9"/>
  <c r="AI20" i="9"/>
  <c r="AI21" i="9"/>
  <c r="AI22" i="9"/>
  <c r="AI23" i="9"/>
  <c r="AI24" i="9"/>
  <c r="AI25" i="9"/>
  <c r="AI26" i="9"/>
  <c r="AI27" i="9"/>
  <c r="AI28" i="9"/>
  <c r="AI29" i="9"/>
  <c r="AI30" i="9"/>
  <c r="AI31" i="9"/>
  <c r="AI32" i="9"/>
  <c r="AI33" i="9"/>
  <c r="AI34" i="9"/>
  <c r="AI35" i="9"/>
  <c r="AI36" i="9"/>
  <c r="AI37" i="9"/>
  <c r="AI38" i="9"/>
  <c r="AI39" i="9"/>
  <c r="AI40" i="9"/>
  <c r="AI41" i="9"/>
  <c r="AI42" i="9"/>
  <c r="AI43" i="9"/>
  <c r="AI44" i="9"/>
  <c r="AI45" i="9"/>
  <c r="AI46" i="9"/>
  <c r="AI47" i="9"/>
  <c r="AI48" i="9"/>
  <c r="AI49" i="9"/>
  <c r="AI50" i="9"/>
  <c r="AI51" i="9"/>
  <c r="AI52" i="9"/>
  <c r="AI53" i="9"/>
  <c r="AI54" i="9"/>
  <c r="AI55" i="9"/>
  <c r="AI56" i="9"/>
  <c r="AI57" i="9"/>
  <c r="AI58" i="9"/>
  <c r="AI59" i="9"/>
  <c r="AI60" i="9"/>
  <c r="AI61" i="9"/>
  <c r="AI62" i="9"/>
  <c r="AI63" i="9"/>
  <c r="AI64" i="9"/>
  <c r="AI65" i="9"/>
  <c r="AI66" i="9"/>
  <c r="AI67" i="9"/>
  <c r="AI68" i="9"/>
  <c r="AI69" i="9"/>
  <c r="AI70" i="9"/>
  <c r="AI71" i="9"/>
  <c r="AI72" i="9"/>
  <c r="AI73" i="9"/>
  <c r="AI74" i="9"/>
  <c r="AI75" i="9"/>
  <c r="AI76" i="9"/>
  <c r="AI77" i="9"/>
  <c r="AI78" i="9"/>
  <c r="AI79" i="9"/>
  <c r="AI80" i="9"/>
  <c r="AI81" i="9"/>
  <c r="AI82" i="9"/>
  <c r="AI83" i="9"/>
  <c r="AI84" i="9"/>
  <c r="AI85" i="9"/>
  <c r="AI86" i="9"/>
  <c r="AI87" i="9"/>
  <c r="AI88" i="9"/>
  <c r="AI89" i="9"/>
  <c r="AI90" i="9"/>
  <c r="AI91" i="9"/>
  <c r="AI92" i="9"/>
  <c r="AI93" i="9"/>
  <c r="AI94" i="9"/>
  <c r="AI95" i="9"/>
  <c r="AI96" i="9"/>
  <c r="AI97" i="9"/>
  <c r="AI98" i="9"/>
  <c r="AI99" i="9"/>
  <c r="AI100" i="9"/>
  <c r="AI101" i="9"/>
  <c r="AI102" i="9"/>
  <c r="AI103" i="9"/>
  <c r="AI104" i="9"/>
  <c r="AI105" i="9"/>
  <c r="AI106" i="9"/>
  <c r="AI107" i="9"/>
  <c r="AI108" i="9"/>
  <c r="AI109" i="9"/>
  <c r="AI110" i="9"/>
  <c r="AI111" i="9"/>
  <c r="AI112" i="9"/>
  <c r="AI113" i="9"/>
  <c r="AI114" i="9"/>
  <c r="AI115" i="9"/>
  <c r="AI116" i="9"/>
  <c r="AI117" i="9"/>
  <c r="AI118" i="9"/>
  <c r="AI119" i="9"/>
  <c r="AI120" i="9"/>
  <c r="AI121" i="9"/>
  <c r="AI122" i="9"/>
  <c r="AI123" i="9"/>
  <c r="AI124" i="9"/>
  <c r="AI125" i="9"/>
  <c r="AI126" i="9"/>
  <c r="AI127" i="9"/>
  <c r="AI128" i="9"/>
  <c r="AI129" i="9"/>
  <c r="AI130" i="9"/>
  <c r="AI131" i="9"/>
  <c r="AI132" i="9"/>
  <c r="AI133" i="9"/>
  <c r="AI134" i="9"/>
  <c r="AI135" i="9"/>
  <c r="AI136" i="9"/>
  <c r="AI137" i="9"/>
  <c r="AI138" i="9"/>
  <c r="AI139" i="9"/>
  <c r="AI140" i="9"/>
  <c r="AI141" i="9"/>
  <c r="AI142" i="9"/>
  <c r="AI143" i="9"/>
  <c r="AI144" i="9"/>
  <c r="AI145" i="9"/>
  <c r="AI146" i="9"/>
  <c r="AI147" i="9"/>
  <c r="AI148" i="9"/>
  <c r="AI149" i="9"/>
  <c r="AI150" i="9"/>
  <c r="AI151" i="9"/>
  <c r="AI152" i="9"/>
  <c r="AI153" i="9"/>
  <c r="AI154" i="9"/>
  <c r="AI155" i="9"/>
  <c r="AI156" i="9"/>
  <c r="AI157" i="9"/>
  <c r="AI158" i="9"/>
  <c r="AI159" i="9"/>
  <c r="AI160" i="9"/>
  <c r="AI161" i="9"/>
  <c r="AI162" i="9"/>
  <c r="AI163" i="9"/>
  <c r="AI164" i="9"/>
  <c r="AI165" i="9"/>
  <c r="AI166" i="9"/>
  <c r="AI167" i="9"/>
  <c r="AI168" i="9"/>
  <c r="AI169" i="9"/>
  <c r="AI170" i="9"/>
  <c r="AI171" i="9"/>
  <c r="AI172" i="9"/>
  <c r="AI173" i="9"/>
  <c r="AI174" i="9"/>
  <c r="AI175" i="9"/>
  <c r="AI176" i="9"/>
  <c r="AI177" i="9"/>
  <c r="AI178" i="9"/>
  <c r="AI179" i="9"/>
  <c r="AI180" i="9"/>
  <c r="AI181" i="9"/>
  <c r="AI19" i="9"/>
  <c r="AE23" i="9"/>
  <c r="AC21" i="9"/>
  <c r="AB22" i="9"/>
  <c r="AA22" i="9"/>
  <c r="Y20" i="9"/>
  <c r="Y21" i="9"/>
  <c r="Y22" i="9"/>
  <c r="Y23" i="9"/>
  <c r="Y24" i="9"/>
  <c r="Y25" i="9"/>
  <c r="Y26" i="9"/>
  <c r="Y27" i="9"/>
  <c r="Y28" i="9"/>
  <c r="Y29" i="9"/>
  <c r="Y30" i="9"/>
  <c r="Y31" i="9"/>
  <c r="Y32" i="9"/>
  <c r="Y33" i="9"/>
  <c r="Y34" i="9"/>
  <c r="Y35" i="9"/>
  <c r="Y36" i="9"/>
  <c r="Y37" i="9"/>
  <c r="Y38" i="9"/>
  <c r="Y39" i="9"/>
  <c r="Y40" i="9"/>
  <c r="Y41" i="9"/>
  <c r="Y42" i="9"/>
  <c r="Y43" i="9"/>
  <c r="Y44" i="9"/>
  <c r="Y45" i="9"/>
  <c r="Y46" i="9"/>
  <c r="Y47" i="9"/>
  <c r="Y48" i="9"/>
  <c r="Y49" i="9"/>
  <c r="Y50" i="9"/>
  <c r="Y51" i="9"/>
  <c r="Y52" i="9"/>
  <c r="Y53" i="9"/>
  <c r="Y54" i="9"/>
  <c r="Y55" i="9"/>
  <c r="Y56" i="9"/>
  <c r="Y57" i="9"/>
  <c r="Y58" i="9"/>
  <c r="Y59" i="9"/>
  <c r="Y60" i="9"/>
  <c r="Y61" i="9"/>
  <c r="Y62" i="9"/>
  <c r="Y63" i="9"/>
  <c r="Y64" i="9"/>
  <c r="Y65" i="9"/>
  <c r="Y66" i="9"/>
  <c r="Y67" i="9"/>
  <c r="Y68" i="9"/>
  <c r="Y69" i="9"/>
  <c r="Y70" i="9"/>
  <c r="Y71" i="9"/>
  <c r="Y72" i="9"/>
  <c r="Y73" i="9"/>
  <c r="Y74" i="9"/>
  <c r="Y75" i="9"/>
  <c r="Y76" i="9"/>
  <c r="Y77" i="9"/>
  <c r="Y78" i="9"/>
  <c r="Y79" i="9"/>
  <c r="Y80" i="9"/>
  <c r="Y81" i="9"/>
  <c r="Y82" i="9"/>
  <c r="Y83" i="9"/>
  <c r="Y84" i="9"/>
  <c r="Y85" i="9"/>
  <c r="Y86" i="9"/>
  <c r="Y87" i="9"/>
  <c r="Y88" i="9"/>
  <c r="Y89" i="9"/>
  <c r="Y90" i="9"/>
  <c r="Y91" i="9"/>
  <c r="Y92" i="9"/>
  <c r="Y93" i="9"/>
  <c r="Y94" i="9"/>
  <c r="Y95" i="9"/>
  <c r="Y96" i="9"/>
  <c r="Y97" i="9"/>
  <c r="Y98" i="9"/>
  <c r="Y99" i="9"/>
  <c r="Y100" i="9"/>
  <c r="Y101" i="9"/>
  <c r="Y102" i="9"/>
  <c r="Y103" i="9"/>
  <c r="Y104" i="9"/>
  <c r="Y105" i="9"/>
  <c r="Y106" i="9"/>
  <c r="Y107" i="9"/>
  <c r="Y108" i="9"/>
  <c r="Y109" i="9"/>
  <c r="Y110" i="9"/>
  <c r="Y111" i="9"/>
  <c r="Y112" i="9"/>
  <c r="Y113" i="9"/>
  <c r="Y114" i="9"/>
  <c r="Y115" i="9"/>
  <c r="Y116" i="9"/>
  <c r="Y117" i="9"/>
  <c r="Y118" i="9"/>
  <c r="Y119" i="9"/>
  <c r="Y120" i="9"/>
  <c r="Y121" i="9"/>
  <c r="Y122" i="9"/>
  <c r="Y123" i="9"/>
  <c r="Y124" i="9"/>
  <c r="Y125" i="9"/>
  <c r="Y126" i="9"/>
  <c r="Y127" i="9"/>
  <c r="Y128" i="9"/>
  <c r="Y129" i="9"/>
  <c r="Y130" i="9"/>
  <c r="Y131" i="9"/>
  <c r="Y132" i="9"/>
  <c r="Y133" i="9"/>
  <c r="Y134" i="9"/>
  <c r="Y135" i="9"/>
  <c r="Y136" i="9"/>
  <c r="Y137" i="9"/>
  <c r="Y138" i="9"/>
  <c r="Y139" i="9"/>
  <c r="Y140" i="9"/>
  <c r="Y141" i="9"/>
  <c r="Y142" i="9"/>
  <c r="Y143" i="9"/>
  <c r="Y144" i="9"/>
  <c r="Y145" i="9"/>
  <c r="Y146" i="9"/>
  <c r="Y147" i="9"/>
  <c r="Y148" i="9"/>
  <c r="Y149" i="9"/>
  <c r="Y150" i="9"/>
  <c r="Y151" i="9"/>
  <c r="Y152" i="9"/>
  <c r="Y153" i="9"/>
  <c r="Y154" i="9"/>
  <c r="Y155" i="9"/>
  <c r="Y156" i="9"/>
  <c r="Y157" i="9"/>
  <c r="Y158" i="9"/>
  <c r="Y159" i="9"/>
  <c r="Y160" i="9"/>
  <c r="Y161" i="9"/>
  <c r="Y162" i="9"/>
  <c r="Y163" i="9"/>
  <c r="Y164" i="9"/>
  <c r="Y165" i="9"/>
  <c r="Y166" i="9"/>
  <c r="Y167" i="9"/>
  <c r="Y168" i="9"/>
  <c r="Y169" i="9"/>
  <c r="Y170" i="9"/>
  <c r="Y171" i="9"/>
  <c r="Y172" i="9"/>
  <c r="Y173" i="9"/>
  <c r="Y174" i="9"/>
  <c r="Y175" i="9"/>
  <c r="Y176" i="9"/>
  <c r="Y177" i="9"/>
  <c r="Y178" i="9"/>
  <c r="Y179" i="9"/>
  <c r="Y180" i="9"/>
  <c r="Y181" i="9"/>
  <c r="Y19" i="9"/>
  <c r="X19" i="9"/>
  <c r="X20" i="9"/>
  <c r="X21" i="9"/>
  <c r="X22" i="9"/>
  <c r="X23" i="9"/>
  <c r="X24" i="9"/>
  <c r="X25" i="9"/>
  <c r="X26" i="9"/>
  <c r="X27" i="9"/>
  <c r="X28" i="9"/>
  <c r="X29" i="9"/>
  <c r="X30" i="9"/>
  <c r="X31" i="9"/>
  <c r="X32" i="9"/>
  <c r="X33" i="9"/>
  <c r="X34" i="9"/>
  <c r="X35" i="9"/>
  <c r="X36" i="9"/>
  <c r="X37" i="9"/>
  <c r="X38" i="9"/>
  <c r="X39" i="9"/>
  <c r="X40" i="9"/>
  <c r="X41" i="9"/>
  <c r="X42" i="9"/>
  <c r="X43" i="9"/>
  <c r="X44" i="9"/>
  <c r="X45" i="9"/>
  <c r="X46" i="9"/>
  <c r="X47" i="9"/>
  <c r="X48" i="9"/>
  <c r="X49" i="9"/>
  <c r="X50" i="9"/>
  <c r="X51" i="9"/>
  <c r="X52" i="9"/>
  <c r="X53" i="9"/>
  <c r="X54" i="9"/>
  <c r="X55" i="9"/>
  <c r="X56" i="9"/>
  <c r="X57" i="9"/>
  <c r="X58" i="9"/>
  <c r="X59" i="9"/>
  <c r="X60" i="9"/>
  <c r="X61" i="9"/>
  <c r="X62" i="9"/>
  <c r="X63" i="9"/>
  <c r="X64" i="9"/>
  <c r="X65" i="9"/>
  <c r="X66" i="9"/>
  <c r="X67" i="9"/>
  <c r="X68" i="9"/>
  <c r="X69" i="9"/>
  <c r="X70" i="9"/>
  <c r="X71" i="9"/>
  <c r="X72" i="9"/>
  <c r="X73" i="9"/>
  <c r="X74" i="9"/>
  <c r="X75" i="9"/>
  <c r="X76" i="9"/>
  <c r="X77" i="9"/>
  <c r="X78" i="9"/>
  <c r="X79" i="9"/>
  <c r="X80" i="9"/>
  <c r="X81" i="9"/>
  <c r="X82" i="9"/>
  <c r="X83" i="9"/>
  <c r="X84" i="9"/>
  <c r="X85" i="9"/>
  <c r="X86" i="9"/>
  <c r="X87" i="9"/>
  <c r="X88" i="9"/>
  <c r="X89" i="9"/>
  <c r="X90" i="9"/>
  <c r="X91" i="9"/>
  <c r="X92" i="9"/>
  <c r="X93" i="9"/>
  <c r="X94" i="9"/>
  <c r="X95" i="9"/>
  <c r="X96" i="9"/>
  <c r="X97" i="9"/>
  <c r="X98" i="9"/>
  <c r="X99" i="9"/>
  <c r="X100" i="9"/>
  <c r="X101" i="9"/>
  <c r="X102" i="9"/>
  <c r="X103" i="9"/>
  <c r="X104" i="9"/>
  <c r="X105" i="9"/>
  <c r="X106" i="9"/>
  <c r="X107" i="9"/>
  <c r="X108" i="9"/>
  <c r="X109" i="9"/>
  <c r="X110" i="9"/>
  <c r="X111" i="9"/>
  <c r="X112" i="9"/>
  <c r="X113" i="9"/>
  <c r="X114" i="9"/>
  <c r="X115" i="9"/>
  <c r="X116" i="9"/>
  <c r="X117" i="9"/>
  <c r="X118" i="9"/>
  <c r="X119" i="9"/>
  <c r="X120" i="9"/>
  <c r="X121" i="9"/>
  <c r="X122" i="9"/>
  <c r="X123" i="9"/>
  <c r="X124" i="9"/>
  <c r="X125" i="9"/>
  <c r="X126" i="9"/>
  <c r="X127" i="9"/>
  <c r="X128" i="9"/>
  <c r="X129" i="9"/>
  <c r="X130" i="9"/>
  <c r="X131" i="9"/>
  <c r="X132" i="9"/>
  <c r="X133" i="9"/>
  <c r="X134" i="9"/>
  <c r="X135" i="9"/>
  <c r="X136" i="9"/>
  <c r="X137" i="9"/>
  <c r="X138" i="9"/>
  <c r="X139" i="9"/>
  <c r="X140" i="9"/>
  <c r="X141" i="9"/>
  <c r="X142" i="9"/>
  <c r="X143" i="9"/>
  <c r="X144" i="9"/>
  <c r="X145" i="9"/>
  <c r="X146" i="9"/>
  <c r="X147" i="9"/>
  <c r="X148" i="9"/>
  <c r="X149" i="9"/>
  <c r="X150" i="9"/>
  <c r="X151" i="9"/>
  <c r="X152" i="9"/>
  <c r="X153" i="9"/>
  <c r="X154" i="9"/>
  <c r="X155" i="9"/>
  <c r="X156" i="9"/>
  <c r="X157" i="9"/>
  <c r="X158" i="9"/>
  <c r="X159" i="9"/>
  <c r="X160" i="9"/>
  <c r="X161" i="9"/>
  <c r="X162" i="9"/>
  <c r="X163" i="9"/>
  <c r="X164" i="9"/>
  <c r="X165" i="9"/>
  <c r="X166" i="9"/>
  <c r="X167" i="9"/>
  <c r="X168" i="9"/>
  <c r="X169" i="9"/>
  <c r="X170" i="9"/>
  <c r="X171" i="9"/>
  <c r="X172" i="9"/>
  <c r="X173" i="9"/>
  <c r="X174" i="9"/>
  <c r="X175" i="9"/>
  <c r="X176" i="9"/>
  <c r="X177" i="9"/>
  <c r="X178" i="9"/>
  <c r="X179" i="9"/>
  <c r="X180" i="9"/>
  <c r="X181" i="9"/>
  <c r="W34" i="9"/>
  <c r="W20" i="9"/>
  <c r="W21" i="9"/>
  <c r="W22" i="9"/>
  <c r="W23" i="9"/>
  <c r="W24" i="9"/>
  <c r="W25" i="9"/>
  <c r="W26" i="9"/>
  <c r="W27" i="9"/>
  <c r="W28" i="9"/>
  <c r="W29" i="9"/>
  <c r="W30" i="9"/>
  <c r="W31" i="9"/>
  <c r="W32" i="9"/>
  <c r="W33" i="9"/>
  <c r="W35" i="9"/>
  <c r="W36" i="9"/>
  <c r="W37" i="9"/>
  <c r="W38" i="9"/>
  <c r="W39" i="9"/>
  <c r="W40" i="9"/>
  <c r="W41" i="9"/>
  <c r="W42" i="9"/>
  <c r="W43" i="9"/>
  <c r="W44" i="9"/>
  <c r="W45" i="9"/>
  <c r="W46" i="9"/>
  <c r="W47" i="9"/>
  <c r="W48" i="9"/>
  <c r="W49" i="9"/>
  <c r="W50" i="9"/>
  <c r="W51" i="9"/>
  <c r="W52" i="9"/>
  <c r="W53" i="9"/>
  <c r="W54" i="9"/>
  <c r="W55" i="9"/>
  <c r="W56" i="9"/>
  <c r="W57" i="9"/>
  <c r="W58" i="9"/>
  <c r="W59" i="9"/>
  <c r="W60" i="9"/>
  <c r="W61" i="9"/>
  <c r="W62" i="9"/>
  <c r="W63" i="9"/>
  <c r="W64" i="9"/>
  <c r="W65" i="9"/>
  <c r="W66" i="9"/>
  <c r="W67" i="9"/>
  <c r="W68" i="9"/>
  <c r="W69" i="9"/>
  <c r="W70" i="9"/>
  <c r="W71" i="9"/>
  <c r="W72" i="9"/>
  <c r="W73" i="9"/>
  <c r="W74" i="9"/>
  <c r="W75" i="9"/>
  <c r="W76" i="9"/>
  <c r="W77" i="9"/>
  <c r="W78" i="9"/>
  <c r="W79" i="9"/>
  <c r="W80" i="9"/>
  <c r="W81" i="9"/>
  <c r="W82" i="9"/>
  <c r="W83" i="9"/>
  <c r="W84" i="9"/>
  <c r="W85" i="9"/>
  <c r="W86" i="9"/>
  <c r="W87" i="9"/>
  <c r="W88" i="9"/>
  <c r="W89" i="9"/>
  <c r="W90" i="9"/>
  <c r="W91" i="9"/>
  <c r="W92" i="9"/>
  <c r="W93" i="9"/>
  <c r="W94" i="9"/>
  <c r="W95" i="9"/>
  <c r="W96" i="9"/>
  <c r="W97" i="9"/>
  <c r="W98" i="9"/>
  <c r="W99" i="9"/>
  <c r="W100" i="9"/>
  <c r="W101" i="9"/>
  <c r="W102" i="9"/>
  <c r="W103" i="9"/>
  <c r="W104" i="9"/>
  <c r="W105" i="9"/>
  <c r="W106" i="9"/>
  <c r="W107" i="9"/>
  <c r="W108" i="9"/>
  <c r="W109" i="9"/>
  <c r="W110" i="9"/>
  <c r="W111" i="9"/>
  <c r="W112" i="9"/>
  <c r="W113" i="9"/>
  <c r="W114" i="9"/>
  <c r="W115" i="9"/>
  <c r="W116" i="9"/>
  <c r="W117" i="9"/>
  <c r="W118" i="9"/>
  <c r="W119" i="9"/>
  <c r="W120" i="9"/>
  <c r="W121" i="9"/>
  <c r="W122" i="9"/>
  <c r="W123" i="9"/>
  <c r="W124" i="9"/>
  <c r="W125" i="9"/>
  <c r="W126" i="9"/>
  <c r="W127" i="9"/>
  <c r="W128" i="9"/>
  <c r="W129" i="9"/>
  <c r="W130" i="9"/>
  <c r="W131" i="9"/>
  <c r="W132" i="9"/>
  <c r="W133" i="9"/>
  <c r="W134" i="9"/>
  <c r="W135" i="9"/>
  <c r="W136" i="9"/>
  <c r="W137" i="9"/>
  <c r="W138" i="9"/>
  <c r="W139" i="9"/>
  <c r="W140" i="9"/>
  <c r="W141" i="9"/>
  <c r="W142" i="9"/>
  <c r="W143" i="9"/>
  <c r="W144" i="9"/>
  <c r="W145" i="9"/>
  <c r="W146" i="9"/>
  <c r="W147" i="9"/>
  <c r="W148" i="9"/>
  <c r="W149" i="9"/>
  <c r="W150" i="9"/>
  <c r="W151" i="9"/>
  <c r="W152" i="9"/>
  <c r="W153" i="9"/>
  <c r="W154" i="9"/>
  <c r="W155" i="9"/>
  <c r="W156" i="9"/>
  <c r="W157" i="9"/>
  <c r="W158" i="9"/>
  <c r="W159" i="9"/>
  <c r="W160" i="9"/>
  <c r="W161" i="9"/>
  <c r="W162" i="9"/>
  <c r="W163" i="9"/>
  <c r="W164" i="9"/>
  <c r="W165" i="9"/>
  <c r="W166" i="9"/>
  <c r="W167" i="9"/>
  <c r="W168" i="9"/>
  <c r="W169" i="9"/>
  <c r="W170" i="9"/>
  <c r="W171" i="9"/>
  <c r="W172" i="9"/>
  <c r="W173" i="9"/>
  <c r="W174" i="9"/>
  <c r="W175" i="9"/>
  <c r="W176" i="9"/>
  <c r="W177" i="9"/>
  <c r="W178" i="9"/>
  <c r="W179" i="9"/>
  <c r="W180" i="9"/>
  <c r="W181" i="9"/>
  <c r="W19" i="9"/>
  <c r="Q152" i="9"/>
  <c r="R152" i="9"/>
  <c r="S152" i="9"/>
  <c r="Z152" i="9"/>
  <c r="AA152" i="9"/>
  <c r="AB152" i="9"/>
  <c r="AC152" i="9"/>
  <c r="AD152" i="9"/>
  <c r="AE152" i="9"/>
  <c r="AF152" i="9"/>
  <c r="AG152" i="9"/>
  <c r="AH152" i="9"/>
  <c r="AL152" i="9"/>
  <c r="AM152" i="9"/>
  <c r="AN152" i="9"/>
  <c r="Q153" i="9"/>
  <c r="R153" i="9"/>
  <c r="S153" i="9"/>
  <c r="Z153" i="9"/>
  <c r="AA153" i="9"/>
  <c r="AB153" i="9"/>
  <c r="AC153" i="9"/>
  <c r="AD153" i="9"/>
  <c r="AE153" i="9"/>
  <c r="AF153" i="9"/>
  <c r="AG153" i="9"/>
  <c r="AH153" i="9"/>
  <c r="AL153" i="9"/>
  <c r="AM153" i="9"/>
  <c r="AN153" i="9"/>
  <c r="Q154" i="9"/>
  <c r="R154" i="9"/>
  <c r="S154" i="9"/>
  <c r="Z154" i="9"/>
  <c r="AA154" i="9"/>
  <c r="AB154" i="9"/>
  <c r="AC154" i="9"/>
  <c r="AD154" i="9"/>
  <c r="AE154" i="9"/>
  <c r="AF154" i="9"/>
  <c r="AG154" i="9"/>
  <c r="AH154" i="9"/>
  <c r="AL154" i="9"/>
  <c r="AM154" i="9"/>
  <c r="AN154" i="9"/>
  <c r="Q155" i="9"/>
  <c r="R155" i="9"/>
  <c r="S155" i="9"/>
  <c r="Z155" i="9"/>
  <c r="AA155" i="9"/>
  <c r="AB155" i="9"/>
  <c r="AC155" i="9"/>
  <c r="AD155" i="9"/>
  <c r="AE155" i="9"/>
  <c r="AF155" i="9"/>
  <c r="AG155" i="9"/>
  <c r="AH155" i="9"/>
  <c r="AL155" i="9"/>
  <c r="AM155" i="9"/>
  <c r="AN155" i="9"/>
  <c r="Q156" i="9"/>
  <c r="R156" i="9"/>
  <c r="S156" i="9"/>
  <c r="Z156" i="9"/>
  <c r="AA156" i="9"/>
  <c r="AB156" i="9"/>
  <c r="AC156" i="9"/>
  <c r="AD156" i="9"/>
  <c r="AE156" i="9"/>
  <c r="AF156" i="9"/>
  <c r="AG156" i="9"/>
  <c r="AH156" i="9"/>
  <c r="AL156" i="9"/>
  <c r="AM156" i="9"/>
  <c r="AN156" i="9"/>
  <c r="Q157" i="9"/>
  <c r="R157" i="9"/>
  <c r="S157" i="9"/>
  <c r="Z157" i="9"/>
  <c r="AA157" i="9"/>
  <c r="AB157" i="9"/>
  <c r="AC157" i="9"/>
  <c r="AD157" i="9"/>
  <c r="AE157" i="9"/>
  <c r="AF157" i="9"/>
  <c r="AG157" i="9"/>
  <c r="AH157" i="9"/>
  <c r="AL157" i="9"/>
  <c r="AM157" i="9"/>
  <c r="AN157" i="9"/>
  <c r="Q158" i="9"/>
  <c r="R158" i="9"/>
  <c r="S158" i="9"/>
  <c r="Z158" i="9"/>
  <c r="AA158" i="9"/>
  <c r="AB158" i="9"/>
  <c r="AC158" i="9"/>
  <c r="AD158" i="9"/>
  <c r="AE158" i="9"/>
  <c r="AF158" i="9"/>
  <c r="AG158" i="9"/>
  <c r="AH158" i="9"/>
  <c r="AL158" i="9"/>
  <c r="AM158" i="9"/>
  <c r="AN158" i="9"/>
  <c r="Q159" i="9"/>
  <c r="R159" i="9"/>
  <c r="S159" i="9"/>
  <c r="Z159" i="9"/>
  <c r="AA159" i="9"/>
  <c r="AB159" i="9"/>
  <c r="AC159" i="9"/>
  <c r="AD159" i="9"/>
  <c r="AE159" i="9"/>
  <c r="AF159" i="9"/>
  <c r="AG159" i="9"/>
  <c r="AH159" i="9"/>
  <c r="AL159" i="9"/>
  <c r="AM159" i="9"/>
  <c r="AN159" i="9"/>
  <c r="Q160" i="9"/>
  <c r="R160" i="9"/>
  <c r="S160" i="9"/>
  <c r="Z160" i="9"/>
  <c r="AA160" i="9"/>
  <c r="AB160" i="9"/>
  <c r="AC160" i="9"/>
  <c r="AD160" i="9"/>
  <c r="AE160" i="9"/>
  <c r="AF160" i="9"/>
  <c r="AG160" i="9"/>
  <c r="AH160" i="9"/>
  <c r="AL160" i="9"/>
  <c r="AM160" i="9"/>
  <c r="AN160" i="9"/>
  <c r="Q161" i="9"/>
  <c r="R161" i="9"/>
  <c r="S161" i="9"/>
  <c r="Z161" i="9"/>
  <c r="AA161" i="9"/>
  <c r="AB161" i="9"/>
  <c r="AC161" i="9"/>
  <c r="AD161" i="9"/>
  <c r="AE161" i="9"/>
  <c r="AF161" i="9"/>
  <c r="AG161" i="9"/>
  <c r="AH161" i="9"/>
  <c r="AL161" i="9"/>
  <c r="AM161" i="9"/>
  <c r="AN161" i="9"/>
  <c r="Q162" i="9"/>
  <c r="R162" i="9"/>
  <c r="S162" i="9"/>
  <c r="Z162" i="9"/>
  <c r="AA162" i="9"/>
  <c r="AB162" i="9"/>
  <c r="AC162" i="9"/>
  <c r="AD162" i="9"/>
  <c r="AE162" i="9"/>
  <c r="AF162" i="9"/>
  <c r="AG162" i="9"/>
  <c r="AH162" i="9"/>
  <c r="AL162" i="9"/>
  <c r="AM162" i="9"/>
  <c r="AN162" i="9"/>
  <c r="Q163" i="9"/>
  <c r="R163" i="9"/>
  <c r="S163" i="9"/>
  <c r="Z163" i="9"/>
  <c r="AA163" i="9"/>
  <c r="AB163" i="9"/>
  <c r="AC163" i="9"/>
  <c r="AD163" i="9"/>
  <c r="AE163" i="9"/>
  <c r="AF163" i="9"/>
  <c r="AG163" i="9"/>
  <c r="AH163" i="9"/>
  <c r="AL163" i="9"/>
  <c r="AM163" i="9"/>
  <c r="AN163" i="9"/>
  <c r="Q164" i="9"/>
  <c r="R164" i="9"/>
  <c r="S164" i="9"/>
  <c r="Z164" i="9"/>
  <c r="AA164" i="9"/>
  <c r="AB164" i="9"/>
  <c r="AC164" i="9"/>
  <c r="AD164" i="9"/>
  <c r="AE164" i="9"/>
  <c r="AF164" i="9"/>
  <c r="AG164" i="9"/>
  <c r="AH164" i="9"/>
  <c r="AL164" i="9"/>
  <c r="AM164" i="9"/>
  <c r="AN164" i="9"/>
  <c r="Q165" i="9"/>
  <c r="R165" i="9"/>
  <c r="S165" i="9"/>
  <c r="Z165" i="9"/>
  <c r="AA165" i="9"/>
  <c r="AB165" i="9"/>
  <c r="AC165" i="9"/>
  <c r="AD165" i="9"/>
  <c r="AE165" i="9"/>
  <c r="AF165" i="9"/>
  <c r="AG165" i="9"/>
  <c r="AH165" i="9"/>
  <c r="AL165" i="9"/>
  <c r="AM165" i="9"/>
  <c r="AN165" i="9"/>
  <c r="Q166" i="9"/>
  <c r="R166" i="9"/>
  <c r="S166" i="9"/>
  <c r="Z166" i="9"/>
  <c r="AA166" i="9"/>
  <c r="AB166" i="9"/>
  <c r="AC166" i="9"/>
  <c r="AD166" i="9"/>
  <c r="AE166" i="9"/>
  <c r="AF166" i="9"/>
  <c r="AG166" i="9"/>
  <c r="AH166" i="9"/>
  <c r="AL166" i="9"/>
  <c r="AM166" i="9"/>
  <c r="AN166" i="9"/>
  <c r="Q167" i="9"/>
  <c r="R167" i="9"/>
  <c r="S167" i="9"/>
  <c r="Z167" i="9"/>
  <c r="AA167" i="9"/>
  <c r="AB167" i="9"/>
  <c r="AC167" i="9"/>
  <c r="AD167" i="9"/>
  <c r="AE167" i="9"/>
  <c r="AF167" i="9"/>
  <c r="AG167" i="9"/>
  <c r="AH167" i="9"/>
  <c r="AL167" i="9"/>
  <c r="AM167" i="9"/>
  <c r="AN167" i="9"/>
  <c r="Q168" i="9"/>
  <c r="R168" i="9"/>
  <c r="S168" i="9"/>
  <c r="Z168" i="9"/>
  <c r="AA168" i="9"/>
  <c r="AB168" i="9"/>
  <c r="AC168" i="9"/>
  <c r="AD168" i="9"/>
  <c r="AE168" i="9"/>
  <c r="AF168" i="9"/>
  <c r="AG168" i="9"/>
  <c r="AH168" i="9"/>
  <c r="AL168" i="9"/>
  <c r="AM168" i="9"/>
  <c r="AN168" i="9"/>
  <c r="Q169" i="9"/>
  <c r="R169" i="9"/>
  <c r="S169" i="9"/>
  <c r="Z169" i="9"/>
  <c r="AA169" i="9"/>
  <c r="AB169" i="9"/>
  <c r="AC169" i="9"/>
  <c r="AD169" i="9"/>
  <c r="AE169" i="9"/>
  <c r="AF169" i="9"/>
  <c r="AG169" i="9"/>
  <c r="AH169" i="9"/>
  <c r="AL169" i="9"/>
  <c r="AM169" i="9"/>
  <c r="AN169" i="9"/>
  <c r="Q170" i="9"/>
  <c r="R170" i="9"/>
  <c r="S170" i="9"/>
  <c r="Z170" i="9"/>
  <c r="AA170" i="9"/>
  <c r="AB170" i="9"/>
  <c r="AC170" i="9"/>
  <c r="AD170" i="9"/>
  <c r="AE170" i="9"/>
  <c r="AF170" i="9"/>
  <c r="AG170" i="9"/>
  <c r="AH170" i="9"/>
  <c r="AL170" i="9"/>
  <c r="AM170" i="9"/>
  <c r="AN170" i="9"/>
  <c r="Q171" i="9"/>
  <c r="R171" i="9"/>
  <c r="S171" i="9"/>
  <c r="Z171" i="9"/>
  <c r="AA171" i="9"/>
  <c r="AB171" i="9"/>
  <c r="AC171" i="9"/>
  <c r="AD171" i="9"/>
  <c r="AE171" i="9"/>
  <c r="AF171" i="9"/>
  <c r="AG171" i="9"/>
  <c r="AH171" i="9"/>
  <c r="AL171" i="9"/>
  <c r="AM171" i="9"/>
  <c r="AN171" i="9"/>
  <c r="Q172" i="9"/>
  <c r="R172" i="9"/>
  <c r="S172" i="9"/>
  <c r="Z172" i="9"/>
  <c r="AA172" i="9"/>
  <c r="AB172" i="9"/>
  <c r="AC172" i="9"/>
  <c r="AD172" i="9"/>
  <c r="AE172" i="9"/>
  <c r="AF172" i="9"/>
  <c r="AG172" i="9"/>
  <c r="AH172" i="9"/>
  <c r="AL172" i="9"/>
  <c r="AM172" i="9"/>
  <c r="AN172" i="9"/>
  <c r="Q173" i="9"/>
  <c r="R173" i="9"/>
  <c r="S173" i="9"/>
  <c r="Z173" i="9"/>
  <c r="AA173" i="9"/>
  <c r="AB173" i="9"/>
  <c r="AC173" i="9"/>
  <c r="AD173" i="9"/>
  <c r="AE173" i="9"/>
  <c r="AF173" i="9"/>
  <c r="AG173" i="9"/>
  <c r="AH173" i="9"/>
  <c r="AL173" i="9"/>
  <c r="AM173" i="9"/>
  <c r="AN173" i="9"/>
  <c r="Q174" i="9"/>
  <c r="R174" i="9"/>
  <c r="S174" i="9"/>
  <c r="Z174" i="9"/>
  <c r="AA174" i="9"/>
  <c r="AB174" i="9"/>
  <c r="AC174" i="9"/>
  <c r="AD174" i="9"/>
  <c r="AE174" i="9"/>
  <c r="AF174" i="9"/>
  <c r="AG174" i="9"/>
  <c r="AH174" i="9"/>
  <c r="AL174" i="9"/>
  <c r="AM174" i="9"/>
  <c r="AN174" i="9"/>
  <c r="Q175" i="9"/>
  <c r="R175" i="9"/>
  <c r="S175" i="9"/>
  <c r="Z175" i="9"/>
  <c r="AA175" i="9"/>
  <c r="AB175" i="9"/>
  <c r="AC175" i="9"/>
  <c r="AD175" i="9"/>
  <c r="AE175" i="9"/>
  <c r="AF175" i="9"/>
  <c r="AG175" i="9"/>
  <c r="AH175" i="9"/>
  <c r="AL175" i="9"/>
  <c r="AM175" i="9"/>
  <c r="AN175" i="9"/>
  <c r="Q176" i="9"/>
  <c r="R176" i="9"/>
  <c r="S176" i="9"/>
  <c r="Z176" i="9"/>
  <c r="AA176" i="9"/>
  <c r="AB176" i="9"/>
  <c r="AC176" i="9"/>
  <c r="AD176" i="9"/>
  <c r="AE176" i="9"/>
  <c r="AF176" i="9"/>
  <c r="AG176" i="9"/>
  <c r="AH176" i="9"/>
  <c r="AL176" i="9"/>
  <c r="AM176" i="9"/>
  <c r="AN176" i="9"/>
  <c r="Q177" i="9"/>
  <c r="R177" i="9"/>
  <c r="S177" i="9"/>
  <c r="Z177" i="9"/>
  <c r="AA177" i="9"/>
  <c r="AB177" i="9"/>
  <c r="AC177" i="9"/>
  <c r="AD177" i="9"/>
  <c r="AE177" i="9"/>
  <c r="AF177" i="9"/>
  <c r="AG177" i="9"/>
  <c r="AH177" i="9"/>
  <c r="AL177" i="9"/>
  <c r="AM177" i="9"/>
  <c r="AN177" i="9"/>
  <c r="Q178" i="9"/>
  <c r="R178" i="9"/>
  <c r="S178" i="9"/>
  <c r="Z178" i="9"/>
  <c r="AA178" i="9"/>
  <c r="AB178" i="9"/>
  <c r="AC178" i="9"/>
  <c r="AD178" i="9"/>
  <c r="AE178" i="9"/>
  <c r="AF178" i="9"/>
  <c r="AG178" i="9"/>
  <c r="AH178" i="9"/>
  <c r="AL178" i="9"/>
  <c r="AM178" i="9"/>
  <c r="AN178" i="9"/>
  <c r="Q179" i="9"/>
  <c r="R179" i="9"/>
  <c r="S179" i="9"/>
  <c r="Z179" i="9"/>
  <c r="AA179" i="9"/>
  <c r="AB179" i="9"/>
  <c r="AC179" i="9"/>
  <c r="AD179" i="9"/>
  <c r="AE179" i="9"/>
  <c r="AF179" i="9"/>
  <c r="AG179" i="9"/>
  <c r="AH179" i="9"/>
  <c r="AL179" i="9"/>
  <c r="AM179" i="9"/>
  <c r="AN179" i="9"/>
  <c r="Q180" i="9"/>
  <c r="R180" i="9"/>
  <c r="S180" i="9"/>
  <c r="Z180" i="9"/>
  <c r="AA180" i="9"/>
  <c r="AB180" i="9"/>
  <c r="AC180" i="9"/>
  <c r="AD180" i="9"/>
  <c r="AE180" i="9"/>
  <c r="AF180" i="9"/>
  <c r="AG180" i="9"/>
  <c r="AH180" i="9"/>
  <c r="AL180" i="9"/>
  <c r="AM180" i="9"/>
  <c r="AN180" i="9"/>
  <c r="Q181" i="9"/>
  <c r="R181" i="9"/>
  <c r="S181" i="9"/>
  <c r="Z181" i="9"/>
  <c r="AA181" i="9"/>
  <c r="AB181" i="9"/>
  <c r="AC181" i="9"/>
  <c r="AD181" i="9"/>
  <c r="AE181" i="9"/>
  <c r="AF181" i="9"/>
  <c r="AG181" i="9"/>
  <c r="AH181" i="9"/>
  <c r="AL181" i="9"/>
  <c r="AM181" i="9"/>
  <c r="AN181" i="9"/>
  <c r="D16" i="11" l="1"/>
  <c r="B43" i="2"/>
  <c r="B44" i="2"/>
  <c r="AF20" i="9"/>
  <c r="AG20" i="9"/>
  <c r="AH20" i="9"/>
  <c r="AF21" i="9"/>
  <c r="AG21" i="9"/>
  <c r="AH21" i="9"/>
  <c r="AF22" i="9"/>
  <c r="AG22" i="9"/>
  <c r="AH22" i="9"/>
  <c r="AF23" i="9"/>
  <c r="AG23" i="9"/>
  <c r="AH23" i="9"/>
  <c r="AF24" i="9"/>
  <c r="AG24" i="9"/>
  <c r="AH24" i="9"/>
  <c r="AF25" i="9"/>
  <c r="AG25" i="9"/>
  <c r="AH25" i="9"/>
  <c r="AF26" i="9"/>
  <c r="AG26" i="9"/>
  <c r="AH26" i="9"/>
  <c r="AF27" i="9"/>
  <c r="AG27" i="9"/>
  <c r="AH27" i="9"/>
  <c r="AF28" i="9"/>
  <c r="AG28" i="9"/>
  <c r="AH28" i="9"/>
  <c r="AF29" i="9"/>
  <c r="AG29" i="9"/>
  <c r="AH29" i="9"/>
  <c r="AF30" i="9"/>
  <c r="AG30" i="9"/>
  <c r="AH30" i="9"/>
  <c r="AF31" i="9"/>
  <c r="AG31" i="9"/>
  <c r="AH31" i="9"/>
  <c r="AF32" i="9"/>
  <c r="AG32" i="9"/>
  <c r="AH32" i="9"/>
  <c r="AF33" i="9"/>
  <c r="AG33" i="9"/>
  <c r="AH33" i="9"/>
  <c r="AF34" i="9"/>
  <c r="AG34" i="9"/>
  <c r="AH34" i="9"/>
  <c r="AF35" i="9"/>
  <c r="AG35" i="9"/>
  <c r="AH35" i="9"/>
  <c r="AF36" i="9"/>
  <c r="AG36" i="9"/>
  <c r="AH36" i="9"/>
  <c r="AF37" i="9"/>
  <c r="AG37" i="9"/>
  <c r="AH37" i="9"/>
  <c r="AF38" i="9"/>
  <c r="AG38" i="9"/>
  <c r="AH38" i="9"/>
  <c r="AF39" i="9"/>
  <c r="AG39" i="9"/>
  <c r="AH39" i="9"/>
  <c r="AF40" i="9"/>
  <c r="AG40" i="9"/>
  <c r="AH40" i="9"/>
  <c r="AF41" i="9"/>
  <c r="AG41" i="9"/>
  <c r="AH41" i="9"/>
  <c r="AF42" i="9"/>
  <c r="AG42" i="9"/>
  <c r="AH42" i="9"/>
  <c r="AF43" i="9"/>
  <c r="AG43" i="9"/>
  <c r="AH43" i="9"/>
  <c r="AF44" i="9"/>
  <c r="AG44" i="9"/>
  <c r="AH44" i="9"/>
  <c r="AF45" i="9"/>
  <c r="AG45" i="9"/>
  <c r="AH45" i="9"/>
  <c r="AF46" i="9"/>
  <c r="AG46" i="9"/>
  <c r="AH46" i="9"/>
  <c r="AF47" i="9"/>
  <c r="AG47" i="9"/>
  <c r="AH47" i="9"/>
  <c r="AF48" i="9"/>
  <c r="AG48" i="9"/>
  <c r="AH48" i="9"/>
  <c r="AF49" i="9"/>
  <c r="AG49" i="9"/>
  <c r="AH49" i="9"/>
  <c r="AF50" i="9"/>
  <c r="AG50" i="9"/>
  <c r="AH50" i="9"/>
  <c r="AF51" i="9"/>
  <c r="AG51" i="9"/>
  <c r="AH51" i="9"/>
  <c r="AF52" i="9"/>
  <c r="AG52" i="9"/>
  <c r="AH52" i="9"/>
  <c r="AF53" i="9"/>
  <c r="AG53" i="9"/>
  <c r="AH53" i="9"/>
  <c r="AF54" i="9"/>
  <c r="AG54" i="9"/>
  <c r="AH54" i="9"/>
  <c r="AF55" i="9"/>
  <c r="AG55" i="9"/>
  <c r="AH55" i="9"/>
  <c r="AF56" i="9"/>
  <c r="AG56" i="9"/>
  <c r="AH56" i="9"/>
  <c r="AF57" i="9"/>
  <c r="AG57" i="9"/>
  <c r="AH57" i="9"/>
  <c r="AF58" i="9"/>
  <c r="AG58" i="9"/>
  <c r="AH58" i="9"/>
  <c r="AF59" i="9"/>
  <c r="AG59" i="9"/>
  <c r="AH59" i="9"/>
  <c r="AF60" i="9"/>
  <c r="AG60" i="9"/>
  <c r="AH60" i="9"/>
  <c r="AF61" i="9"/>
  <c r="AG61" i="9"/>
  <c r="AH61" i="9"/>
  <c r="AF62" i="9"/>
  <c r="AG62" i="9"/>
  <c r="AH62" i="9"/>
  <c r="AF63" i="9"/>
  <c r="AG63" i="9"/>
  <c r="AH63" i="9"/>
  <c r="AF64" i="9"/>
  <c r="AG64" i="9"/>
  <c r="AH64" i="9"/>
  <c r="AF65" i="9"/>
  <c r="AG65" i="9"/>
  <c r="AH65" i="9"/>
  <c r="AF66" i="9"/>
  <c r="AG66" i="9"/>
  <c r="AH66" i="9"/>
  <c r="AF67" i="9"/>
  <c r="AG67" i="9"/>
  <c r="AH67" i="9"/>
  <c r="AF68" i="9"/>
  <c r="AG68" i="9"/>
  <c r="AH68" i="9"/>
  <c r="AF69" i="9"/>
  <c r="AG69" i="9"/>
  <c r="AH69" i="9"/>
  <c r="AF70" i="9"/>
  <c r="AG70" i="9"/>
  <c r="AH70" i="9"/>
  <c r="AF71" i="9"/>
  <c r="AG71" i="9"/>
  <c r="AH71" i="9"/>
  <c r="AF72" i="9"/>
  <c r="AG72" i="9"/>
  <c r="AH72" i="9"/>
  <c r="AF73" i="9"/>
  <c r="AG73" i="9"/>
  <c r="AH73" i="9"/>
  <c r="AF74" i="9"/>
  <c r="AG74" i="9"/>
  <c r="AH74" i="9"/>
  <c r="AF75" i="9"/>
  <c r="AG75" i="9"/>
  <c r="AH75" i="9"/>
  <c r="AF76" i="9"/>
  <c r="AG76" i="9"/>
  <c r="AH76" i="9"/>
  <c r="AF77" i="9"/>
  <c r="AG77" i="9"/>
  <c r="AH77" i="9"/>
  <c r="AF78" i="9"/>
  <c r="AG78" i="9"/>
  <c r="AH78" i="9"/>
  <c r="AF79" i="9"/>
  <c r="AG79" i="9"/>
  <c r="AH79" i="9"/>
  <c r="AF80" i="9"/>
  <c r="AG80" i="9"/>
  <c r="AH80" i="9"/>
  <c r="AF81" i="9"/>
  <c r="AG81" i="9"/>
  <c r="AH81" i="9"/>
  <c r="AF82" i="9"/>
  <c r="AG82" i="9"/>
  <c r="AH82" i="9"/>
  <c r="AF83" i="9"/>
  <c r="AG83" i="9"/>
  <c r="AH83" i="9"/>
  <c r="AF84" i="9"/>
  <c r="AG84" i="9"/>
  <c r="AH84" i="9"/>
  <c r="AF85" i="9"/>
  <c r="AG85" i="9"/>
  <c r="AH85" i="9"/>
  <c r="AF86" i="9"/>
  <c r="AG86" i="9"/>
  <c r="AH86" i="9"/>
  <c r="AF87" i="9"/>
  <c r="AG87" i="9"/>
  <c r="AH87" i="9"/>
  <c r="AF88" i="9"/>
  <c r="AG88" i="9"/>
  <c r="AH88" i="9"/>
  <c r="AF89" i="9"/>
  <c r="AG89" i="9"/>
  <c r="AH89" i="9"/>
  <c r="AF90" i="9"/>
  <c r="AG90" i="9"/>
  <c r="AH90" i="9"/>
  <c r="AF91" i="9"/>
  <c r="AG91" i="9"/>
  <c r="AH91" i="9"/>
  <c r="AF92" i="9"/>
  <c r="AG92" i="9"/>
  <c r="AH92" i="9"/>
  <c r="AF93" i="9"/>
  <c r="AG93" i="9"/>
  <c r="AH93" i="9"/>
  <c r="AF94" i="9"/>
  <c r="AG94" i="9"/>
  <c r="AH94" i="9"/>
  <c r="AF95" i="9"/>
  <c r="AG95" i="9"/>
  <c r="AH95" i="9"/>
  <c r="AF96" i="9"/>
  <c r="AG96" i="9"/>
  <c r="AH96" i="9"/>
  <c r="AF97" i="9"/>
  <c r="AG97" i="9"/>
  <c r="AH97" i="9"/>
  <c r="AF98" i="9"/>
  <c r="AG98" i="9"/>
  <c r="AH98" i="9"/>
  <c r="AF99" i="9"/>
  <c r="AG99" i="9"/>
  <c r="AH99" i="9"/>
  <c r="AF100" i="9"/>
  <c r="AG100" i="9"/>
  <c r="AH100" i="9"/>
  <c r="AF101" i="9"/>
  <c r="AG101" i="9"/>
  <c r="AH101" i="9"/>
  <c r="AF102" i="9"/>
  <c r="AG102" i="9"/>
  <c r="AH102" i="9"/>
  <c r="AF103" i="9"/>
  <c r="AG103" i="9"/>
  <c r="AH103" i="9"/>
  <c r="AF104" i="9"/>
  <c r="AG104" i="9"/>
  <c r="AH104" i="9"/>
  <c r="AF105" i="9"/>
  <c r="AG105" i="9"/>
  <c r="AH105" i="9"/>
  <c r="AF106" i="9"/>
  <c r="AG106" i="9"/>
  <c r="AH106" i="9"/>
  <c r="AF107" i="9"/>
  <c r="AG107" i="9"/>
  <c r="AH107" i="9"/>
  <c r="AF108" i="9"/>
  <c r="AG108" i="9"/>
  <c r="AH108" i="9"/>
  <c r="AF109" i="9"/>
  <c r="AG109" i="9"/>
  <c r="AH109" i="9"/>
  <c r="AF110" i="9"/>
  <c r="AG110" i="9"/>
  <c r="AH110" i="9"/>
  <c r="AF111" i="9"/>
  <c r="AG111" i="9"/>
  <c r="AH111" i="9"/>
  <c r="AF112" i="9"/>
  <c r="AG112" i="9"/>
  <c r="AH112" i="9"/>
  <c r="AF113" i="9"/>
  <c r="AG113" i="9"/>
  <c r="AH113" i="9"/>
  <c r="AF114" i="9"/>
  <c r="AG114" i="9"/>
  <c r="AH114" i="9"/>
  <c r="AF115" i="9"/>
  <c r="AG115" i="9"/>
  <c r="AH115" i="9"/>
  <c r="AF116" i="9"/>
  <c r="AG116" i="9"/>
  <c r="AH116" i="9"/>
  <c r="AF117" i="9"/>
  <c r="AG117" i="9"/>
  <c r="AH117" i="9"/>
  <c r="AF118" i="9"/>
  <c r="AG118" i="9"/>
  <c r="AH118" i="9"/>
  <c r="AF119" i="9"/>
  <c r="AG119" i="9"/>
  <c r="AH119" i="9"/>
  <c r="AF120" i="9"/>
  <c r="AG120" i="9"/>
  <c r="AH120" i="9"/>
  <c r="AF121" i="9"/>
  <c r="AG121" i="9"/>
  <c r="AH121" i="9"/>
  <c r="AF122" i="9"/>
  <c r="AG122" i="9"/>
  <c r="AH122" i="9"/>
  <c r="AF123" i="9"/>
  <c r="AG123" i="9"/>
  <c r="AH123" i="9"/>
  <c r="AF124" i="9"/>
  <c r="AG124" i="9"/>
  <c r="AH124" i="9"/>
  <c r="AF125" i="9"/>
  <c r="AG125" i="9"/>
  <c r="AH125" i="9"/>
  <c r="AF126" i="9"/>
  <c r="AG126" i="9"/>
  <c r="AH126" i="9"/>
  <c r="AF127" i="9"/>
  <c r="AG127" i="9"/>
  <c r="AH127" i="9"/>
  <c r="AF128" i="9"/>
  <c r="AG128" i="9"/>
  <c r="AH128" i="9"/>
  <c r="AF129" i="9"/>
  <c r="AG129" i="9"/>
  <c r="AH129" i="9"/>
  <c r="AF130" i="9"/>
  <c r="AG130" i="9"/>
  <c r="AH130" i="9"/>
  <c r="AF131" i="9"/>
  <c r="AG131" i="9"/>
  <c r="AH131" i="9"/>
  <c r="AF132" i="9"/>
  <c r="AG132" i="9"/>
  <c r="AH132" i="9"/>
  <c r="AF133" i="9"/>
  <c r="AG133" i="9"/>
  <c r="AH133" i="9"/>
  <c r="AF134" i="9"/>
  <c r="AG134" i="9"/>
  <c r="AH134" i="9"/>
  <c r="AF135" i="9"/>
  <c r="AG135" i="9"/>
  <c r="AH135" i="9"/>
  <c r="AF136" i="9"/>
  <c r="AG136" i="9"/>
  <c r="AH136" i="9"/>
  <c r="AF137" i="9"/>
  <c r="AG137" i="9"/>
  <c r="AH137" i="9"/>
  <c r="AF138" i="9"/>
  <c r="AG138" i="9"/>
  <c r="AH138" i="9"/>
  <c r="AF139" i="9"/>
  <c r="AG139" i="9"/>
  <c r="AH139" i="9"/>
  <c r="AF140" i="9"/>
  <c r="AG140" i="9"/>
  <c r="AH140" i="9"/>
  <c r="AF141" i="9"/>
  <c r="AG141" i="9"/>
  <c r="AH141" i="9"/>
  <c r="AF142" i="9"/>
  <c r="AG142" i="9"/>
  <c r="AH142" i="9"/>
  <c r="AF143" i="9"/>
  <c r="AG143" i="9"/>
  <c r="AH143" i="9"/>
  <c r="AF144" i="9"/>
  <c r="AG144" i="9"/>
  <c r="AH144" i="9"/>
  <c r="AF145" i="9"/>
  <c r="AG145" i="9"/>
  <c r="AH145" i="9"/>
  <c r="AF146" i="9"/>
  <c r="AG146" i="9"/>
  <c r="AH146" i="9"/>
  <c r="AF147" i="9"/>
  <c r="AG147" i="9"/>
  <c r="AH147" i="9"/>
  <c r="AF148" i="9"/>
  <c r="AG148" i="9"/>
  <c r="AH148" i="9"/>
  <c r="AF149" i="9"/>
  <c r="AG149" i="9"/>
  <c r="AH149" i="9"/>
  <c r="AF150" i="9"/>
  <c r="AG150" i="9"/>
  <c r="AH150" i="9"/>
  <c r="AF151" i="9"/>
  <c r="AG151" i="9"/>
  <c r="AH151" i="9"/>
  <c r="AG19" i="9"/>
  <c r="AH19" i="9"/>
  <c r="AF19" i="9"/>
  <c r="A61" i="2"/>
  <c r="A18" i="2" l="1"/>
  <c r="A21" i="2"/>
  <c r="B17" i="11"/>
  <c r="A39" i="2"/>
  <c r="A47" i="2" l="1"/>
  <c r="A54" i="2"/>
  <c r="B22" i="11"/>
  <c r="A6" i="11"/>
  <c r="B3" i="12"/>
  <c r="B4" i="12" l="1"/>
  <c r="B8" i="7"/>
  <c r="F7" i="7"/>
  <c r="F6" i="7"/>
  <c r="F5" i="7"/>
  <c r="F4" i="7"/>
  <c r="F8" i="7" s="1"/>
  <c r="B11" i="7" l="1"/>
  <c r="Q20" i="9" l="1"/>
  <c r="R20" i="9"/>
  <c r="S20" i="9"/>
  <c r="Z20" i="9"/>
  <c r="AA20" i="9"/>
  <c r="AB20" i="9"/>
  <c r="AC20" i="9"/>
  <c r="AD20" i="9"/>
  <c r="AE20" i="9"/>
  <c r="AM20" i="9"/>
  <c r="Q21" i="9"/>
  <c r="R21" i="9"/>
  <c r="S21" i="9"/>
  <c r="Z21" i="9"/>
  <c r="AA21" i="9"/>
  <c r="AB21" i="9"/>
  <c r="AD21" i="9"/>
  <c r="AE21" i="9"/>
  <c r="AM21" i="9"/>
  <c r="AN21" i="9"/>
  <c r="Q22" i="9"/>
  <c r="R22" i="9"/>
  <c r="S22" i="9"/>
  <c r="Z22" i="9"/>
  <c r="AC22" i="9"/>
  <c r="AD22" i="9"/>
  <c r="AE22" i="9"/>
  <c r="AL22" i="9"/>
  <c r="AM22" i="9"/>
  <c r="AN22" i="9"/>
  <c r="Q23" i="9"/>
  <c r="R23" i="9"/>
  <c r="S23" i="9"/>
  <c r="Z23" i="9"/>
  <c r="AA23" i="9"/>
  <c r="AB23" i="9"/>
  <c r="AC23" i="9"/>
  <c r="AD23" i="9"/>
  <c r="AL23" i="9"/>
  <c r="AM23" i="9"/>
  <c r="AN23" i="9"/>
  <c r="Q24" i="9"/>
  <c r="R24" i="9"/>
  <c r="S24" i="9"/>
  <c r="Z24" i="9"/>
  <c r="AA24" i="9"/>
  <c r="AB24" i="9"/>
  <c r="AC24" i="9"/>
  <c r="AD24" i="9"/>
  <c r="AE24" i="9"/>
  <c r="AL24" i="9"/>
  <c r="AN24" i="9"/>
  <c r="Q25" i="9"/>
  <c r="R25" i="9"/>
  <c r="S25" i="9"/>
  <c r="Z25" i="9"/>
  <c r="AA25" i="9"/>
  <c r="AB25" i="9"/>
  <c r="AC25" i="9"/>
  <c r="AD25" i="9"/>
  <c r="AE25" i="9"/>
  <c r="AL25" i="9"/>
  <c r="AM25" i="9"/>
  <c r="AN25" i="9"/>
  <c r="Q26" i="9"/>
  <c r="R26" i="9"/>
  <c r="S26" i="9"/>
  <c r="Z26" i="9"/>
  <c r="AA26" i="9"/>
  <c r="AB26" i="9"/>
  <c r="AC26" i="9"/>
  <c r="AD26" i="9"/>
  <c r="AE26" i="9"/>
  <c r="AL26" i="9"/>
  <c r="AM26" i="9"/>
  <c r="AN26" i="9"/>
  <c r="Q27" i="9"/>
  <c r="R27" i="9"/>
  <c r="S27" i="9"/>
  <c r="Z27" i="9"/>
  <c r="AA27" i="9"/>
  <c r="AB27" i="9"/>
  <c r="AC27" i="9"/>
  <c r="AD27" i="9"/>
  <c r="AE27" i="9"/>
  <c r="Q28" i="9"/>
  <c r="R28" i="9"/>
  <c r="S28" i="9"/>
  <c r="Z28" i="9"/>
  <c r="AA28" i="9"/>
  <c r="AB28" i="9"/>
  <c r="AC28" i="9"/>
  <c r="AD28" i="9"/>
  <c r="AE28" i="9"/>
  <c r="AL28" i="9"/>
  <c r="AM28" i="9"/>
  <c r="AN28" i="9"/>
  <c r="Q29" i="9"/>
  <c r="R29" i="9"/>
  <c r="S29" i="9"/>
  <c r="Z29" i="9"/>
  <c r="AA29" i="9"/>
  <c r="AB29" i="9"/>
  <c r="AC29" i="9"/>
  <c r="AD29" i="9"/>
  <c r="AE29" i="9"/>
  <c r="AL29" i="9"/>
  <c r="AM29" i="9"/>
  <c r="AN29" i="9"/>
  <c r="Q30" i="9"/>
  <c r="R30" i="9"/>
  <c r="S30" i="9"/>
  <c r="Z30" i="9"/>
  <c r="AA30" i="9"/>
  <c r="AB30" i="9"/>
  <c r="AC30" i="9"/>
  <c r="AD30" i="9"/>
  <c r="AE30" i="9"/>
  <c r="AL30" i="9"/>
  <c r="AM30" i="9"/>
  <c r="AN30" i="9"/>
  <c r="Q31" i="9"/>
  <c r="R31" i="9"/>
  <c r="S31" i="9"/>
  <c r="Z31" i="9"/>
  <c r="AA31" i="9"/>
  <c r="AB31" i="9"/>
  <c r="AC31" i="9"/>
  <c r="AD31" i="9"/>
  <c r="AE31" i="9"/>
  <c r="AL31" i="9"/>
  <c r="AM31" i="9"/>
  <c r="AN31" i="9"/>
  <c r="Q32" i="9"/>
  <c r="R32" i="9"/>
  <c r="S32" i="9"/>
  <c r="Z32" i="9"/>
  <c r="AA32" i="9"/>
  <c r="AB32" i="9"/>
  <c r="AC32" i="9"/>
  <c r="AD32" i="9"/>
  <c r="AE32" i="9"/>
  <c r="AL32" i="9"/>
  <c r="AM32" i="9"/>
  <c r="AN32" i="9"/>
  <c r="Q33" i="9"/>
  <c r="R33" i="9"/>
  <c r="S33" i="9"/>
  <c r="Z33" i="9"/>
  <c r="AA33" i="9"/>
  <c r="AB33" i="9"/>
  <c r="AC33" i="9"/>
  <c r="AD33" i="9"/>
  <c r="AE33" i="9"/>
  <c r="AL33" i="9"/>
  <c r="AM33" i="9"/>
  <c r="AN33" i="9"/>
  <c r="Q34" i="9"/>
  <c r="R34" i="9"/>
  <c r="S34" i="9"/>
  <c r="Z34" i="9"/>
  <c r="AA34" i="9"/>
  <c r="AB34" i="9"/>
  <c r="AC34" i="9"/>
  <c r="AD34" i="9"/>
  <c r="AE34" i="9"/>
  <c r="AL34" i="9"/>
  <c r="AM34" i="9"/>
  <c r="AN34" i="9"/>
  <c r="Q35" i="9"/>
  <c r="R35" i="9"/>
  <c r="S35" i="9"/>
  <c r="Z35" i="9"/>
  <c r="AA35" i="9"/>
  <c r="AB35" i="9"/>
  <c r="AC35" i="9"/>
  <c r="AD35" i="9"/>
  <c r="AE35" i="9"/>
  <c r="AL35" i="9"/>
  <c r="AM35" i="9"/>
  <c r="AN35" i="9"/>
  <c r="Q36" i="9"/>
  <c r="R36" i="9"/>
  <c r="S36" i="9"/>
  <c r="Z36" i="9"/>
  <c r="AA36" i="9"/>
  <c r="AB36" i="9"/>
  <c r="AC36" i="9"/>
  <c r="AD36" i="9"/>
  <c r="AE36" i="9"/>
  <c r="AM36" i="9"/>
  <c r="AN36" i="9"/>
  <c r="Q37" i="9"/>
  <c r="R37" i="9"/>
  <c r="S37" i="9"/>
  <c r="Z37" i="9"/>
  <c r="AA37" i="9"/>
  <c r="AB37" i="9"/>
  <c r="AC37" i="9"/>
  <c r="AD37" i="9"/>
  <c r="AE37" i="9"/>
  <c r="AL37" i="9"/>
  <c r="AM37" i="9"/>
  <c r="AN37" i="9"/>
  <c r="Q38" i="9"/>
  <c r="R38" i="9"/>
  <c r="S38" i="9"/>
  <c r="Z38" i="9"/>
  <c r="AA38" i="9"/>
  <c r="AB38" i="9"/>
  <c r="AC38" i="9"/>
  <c r="AD38" i="9"/>
  <c r="AE38" i="9"/>
  <c r="AL38" i="9"/>
  <c r="AM38" i="9"/>
  <c r="AN38" i="9"/>
  <c r="Q39" i="9"/>
  <c r="R39" i="9"/>
  <c r="S39" i="9"/>
  <c r="Z39" i="9"/>
  <c r="AA39" i="9"/>
  <c r="AB39" i="9"/>
  <c r="AC39" i="9"/>
  <c r="AD39" i="9"/>
  <c r="AE39" i="9"/>
  <c r="AL39" i="9"/>
  <c r="AM39" i="9"/>
  <c r="AN39" i="9"/>
  <c r="Q40" i="9"/>
  <c r="R40" i="9"/>
  <c r="S40" i="9"/>
  <c r="Z40" i="9"/>
  <c r="AA40" i="9"/>
  <c r="AB40" i="9"/>
  <c r="AC40" i="9"/>
  <c r="AD40" i="9"/>
  <c r="AE40" i="9"/>
  <c r="AL40" i="9"/>
  <c r="AM40" i="9"/>
  <c r="AN40" i="9"/>
  <c r="Q41" i="9"/>
  <c r="R41" i="9"/>
  <c r="S41" i="9"/>
  <c r="Z41" i="9"/>
  <c r="AA41" i="9"/>
  <c r="AB41" i="9"/>
  <c r="AC41" i="9"/>
  <c r="AD41" i="9"/>
  <c r="AE41" i="9"/>
  <c r="AL41" i="9"/>
  <c r="AM41" i="9"/>
  <c r="AN41" i="9"/>
  <c r="Q42" i="9"/>
  <c r="R42" i="9"/>
  <c r="S42" i="9"/>
  <c r="Z42" i="9"/>
  <c r="AA42" i="9"/>
  <c r="AB42" i="9"/>
  <c r="AC42" i="9"/>
  <c r="AD42" i="9"/>
  <c r="AE42" i="9"/>
  <c r="AL42" i="9"/>
  <c r="AM42" i="9"/>
  <c r="AN42" i="9"/>
  <c r="Q43" i="9"/>
  <c r="R43" i="9"/>
  <c r="S43" i="9"/>
  <c r="Z43" i="9"/>
  <c r="AA43" i="9"/>
  <c r="AB43" i="9"/>
  <c r="AC43" i="9"/>
  <c r="AD43" i="9"/>
  <c r="AE43" i="9"/>
  <c r="AL43" i="9"/>
  <c r="AM43" i="9"/>
  <c r="AN43" i="9"/>
  <c r="Q44" i="9"/>
  <c r="R44" i="9"/>
  <c r="S44" i="9"/>
  <c r="Z44" i="9"/>
  <c r="AA44" i="9"/>
  <c r="AB44" i="9"/>
  <c r="AC44" i="9"/>
  <c r="AD44" i="9"/>
  <c r="AE44" i="9"/>
  <c r="AL44" i="9"/>
  <c r="AM44" i="9"/>
  <c r="AN44" i="9"/>
  <c r="Q45" i="9"/>
  <c r="R45" i="9"/>
  <c r="S45" i="9"/>
  <c r="Z45" i="9"/>
  <c r="AA45" i="9"/>
  <c r="AB45" i="9"/>
  <c r="AC45" i="9"/>
  <c r="AD45" i="9"/>
  <c r="AE45" i="9"/>
  <c r="AL45" i="9"/>
  <c r="AM45" i="9"/>
  <c r="AN45" i="9"/>
  <c r="Q46" i="9"/>
  <c r="R46" i="9"/>
  <c r="S46" i="9"/>
  <c r="Z46" i="9"/>
  <c r="AA46" i="9"/>
  <c r="AB46" i="9"/>
  <c r="AC46" i="9"/>
  <c r="AD46" i="9"/>
  <c r="AE46" i="9"/>
  <c r="AL46" i="9"/>
  <c r="AM46" i="9"/>
  <c r="AN46" i="9"/>
  <c r="Q47" i="9"/>
  <c r="R47" i="9"/>
  <c r="S47" i="9"/>
  <c r="Z47" i="9"/>
  <c r="AA47" i="9"/>
  <c r="AB47" i="9"/>
  <c r="AC47" i="9"/>
  <c r="AD47" i="9"/>
  <c r="AE47" i="9"/>
  <c r="AL47" i="9"/>
  <c r="AM47" i="9"/>
  <c r="AN47" i="9"/>
  <c r="Q48" i="9"/>
  <c r="R48" i="9"/>
  <c r="S48" i="9"/>
  <c r="Z48" i="9"/>
  <c r="AA48" i="9"/>
  <c r="AB48" i="9"/>
  <c r="AC48" i="9"/>
  <c r="AD48" i="9"/>
  <c r="AE48" i="9"/>
  <c r="AL48" i="9"/>
  <c r="AM48" i="9"/>
  <c r="AN48" i="9"/>
  <c r="Q49" i="9"/>
  <c r="R49" i="9"/>
  <c r="S49" i="9"/>
  <c r="Z49" i="9"/>
  <c r="AA49" i="9"/>
  <c r="AB49" i="9"/>
  <c r="AC49" i="9"/>
  <c r="AD49" i="9"/>
  <c r="AE49" i="9"/>
  <c r="AL49" i="9"/>
  <c r="AM49" i="9"/>
  <c r="AN49" i="9"/>
  <c r="Q50" i="9"/>
  <c r="R50" i="9"/>
  <c r="S50" i="9"/>
  <c r="Z50" i="9"/>
  <c r="AA50" i="9"/>
  <c r="AB50" i="9"/>
  <c r="AC50" i="9"/>
  <c r="AD50" i="9"/>
  <c r="AE50" i="9"/>
  <c r="AL50" i="9"/>
  <c r="AM50" i="9"/>
  <c r="AN50" i="9"/>
  <c r="Q51" i="9"/>
  <c r="R51" i="9"/>
  <c r="S51" i="9"/>
  <c r="Z51" i="9"/>
  <c r="AA51" i="9"/>
  <c r="AB51" i="9"/>
  <c r="AC51" i="9"/>
  <c r="AD51" i="9"/>
  <c r="AE51" i="9"/>
  <c r="AL51" i="9"/>
  <c r="AM51" i="9"/>
  <c r="AN51" i="9"/>
  <c r="Q52" i="9"/>
  <c r="R52" i="9"/>
  <c r="S52" i="9"/>
  <c r="Z52" i="9"/>
  <c r="AA52" i="9"/>
  <c r="AB52" i="9"/>
  <c r="AC52" i="9"/>
  <c r="AD52" i="9"/>
  <c r="AE52" i="9"/>
  <c r="AL52" i="9"/>
  <c r="AM52" i="9"/>
  <c r="AN52" i="9"/>
  <c r="Q53" i="9"/>
  <c r="R53" i="9"/>
  <c r="S53" i="9"/>
  <c r="Z53" i="9"/>
  <c r="AA53" i="9"/>
  <c r="AB53" i="9"/>
  <c r="AC53" i="9"/>
  <c r="AD53" i="9"/>
  <c r="AE53" i="9"/>
  <c r="AL53" i="9"/>
  <c r="AM53" i="9"/>
  <c r="AN53" i="9"/>
  <c r="Q54" i="9"/>
  <c r="R54" i="9"/>
  <c r="S54" i="9"/>
  <c r="Z54" i="9"/>
  <c r="AA54" i="9"/>
  <c r="AB54" i="9"/>
  <c r="AC54" i="9"/>
  <c r="AD54" i="9"/>
  <c r="AE54" i="9"/>
  <c r="AL54" i="9"/>
  <c r="AM54" i="9"/>
  <c r="AN54" i="9"/>
  <c r="Q55" i="9"/>
  <c r="R55" i="9"/>
  <c r="S55" i="9"/>
  <c r="Z55" i="9"/>
  <c r="AA55" i="9"/>
  <c r="AB55" i="9"/>
  <c r="AC55" i="9"/>
  <c r="AD55" i="9"/>
  <c r="AE55" i="9"/>
  <c r="AL55" i="9"/>
  <c r="AM55" i="9"/>
  <c r="AN55" i="9"/>
  <c r="Q56" i="9"/>
  <c r="R56" i="9"/>
  <c r="S56" i="9"/>
  <c r="Z56" i="9"/>
  <c r="AA56" i="9"/>
  <c r="AB56" i="9"/>
  <c r="AC56" i="9"/>
  <c r="AD56" i="9"/>
  <c r="AE56" i="9"/>
  <c r="AL56" i="9"/>
  <c r="AM56" i="9"/>
  <c r="AN56" i="9"/>
  <c r="Q57" i="9"/>
  <c r="R57" i="9"/>
  <c r="S57" i="9"/>
  <c r="Z57" i="9"/>
  <c r="AA57" i="9"/>
  <c r="AB57" i="9"/>
  <c r="AC57" i="9"/>
  <c r="AD57" i="9"/>
  <c r="AE57" i="9"/>
  <c r="AL57" i="9"/>
  <c r="AM57" i="9"/>
  <c r="AN57" i="9"/>
  <c r="Q58" i="9"/>
  <c r="R58" i="9"/>
  <c r="S58" i="9"/>
  <c r="Z58" i="9"/>
  <c r="AA58" i="9"/>
  <c r="AB58" i="9"/>
  <c r="AC58" i="9"/>
  <c r="AD58" i="9"/>
  <c r="AE58" i="9"/>
  <c r="AL58" i="9"/>
  <c r="AM58" i="9"/>
  <c r="AN58" i="9"/>
  <c r="Q59" i="9"/>
  <c r="R59" i="9"/>
  <c r="S59" i="9"/>
  <c r="Z59" i="9"/>
  <c r="AA59" i="9"/>
  <c r="AB59" i="9"/>
  <c r="AC59" i="9"/>
  <c r="AD59" i="9"/>
  <c r="AE59" i="9"/>
  <c r="AL59" i="9"/>
  <c r="AM59" i="9"/>
  <c r="AN59" i="9"/>
  <c r="Q60" i="9"/>
  <c r="R60" i="9"/>
  <c r="S60" i="9"/>
  <c r="Z60" i="9"/>
  <c r="AA60" i="9"/>
  <c r="AB60" i="9"/>
  <c r="AC60" i="9"/>
  <c r="AD60" i="9"/>
  <c r="AE60" i="9"/>
  <c r="AL60" i="9"/>
  <c r="AM60" i="9"/>
  <c r="AN60" i="9"/>
  <c r="Q61" i="9"/>
  <c r="R61" i="9"/>
  <c r="S61" i="9"/>
  <c r="Z61" i="9"/>
  <c r="AA61" i="9"/>
  <c r="AB61" i="9"/>
  <c r="AC61" i="9"/>
  <c r="AD61" i="9"/>
  <c r="AE61" i="9"/>
  <c r="AL61" i="9"/>
  <c r="AM61" i="9"/>
  <c r="AN61" i="9"/>
  <c r="Q62" i="9"/>
  <c r="R62" i="9"/>
  <c r="S62" i="9"/>
  <c r="Z62" i="9"/>
  <c r="AA62" i="9"/>
  <c r="AB62" i="9"/>
  <c r="AC62" i="9"/>
  <c r="AD62" i="9"/>
  <c r="AE62" i="9"/>
  <c r="AL62" i="9"/>
  <c r="AM62" i="9"/>
  <c r="AN62" i="9"/>
  <c r="Q63" i="9"/>
  <c r="R63" i="9"/>
  <c r="S63" i="9"/>
  <c r="Z63" i="9"/>
  <c r="AA63" i="9"/>
  <c r="AB63" i="9"/>
  <c r="AC63" i="9"/>
  <c r="AD63" i="9"/>
  <c r="AE63" i="9"/>
  <c r="AL63" i="9"/>
  <c r="AM63" i="9"/>
  <c r="AN63" i="9"/>
  <c r="Q64" i="9"/>
  <c r="R64" i="9"/>
  <c r="S64" i="9"/>
  <c r="Z64" i="9"/>
  <c r="AA64" i="9"/>
  <c r="AB64" i="9"/>
  <c r="AC64" i="9"/>
  <c r="AD64" i="9"/>
  <c r="AE64" i="9"/>
  <c r="AL64" i="9"/>
  <c r="AM64" i="9"/>
  <c r="AN64" i="9"/>
  <c r="Q65" i="9"/>
  <c r="R65" i="9"/>
  <c r="S65" i="9"/>
  <c r="Z65" i="9"/>
  <c r="AA65" i="9"/>
  <c r="AB65" i="9"/>
  <c r="AC65" i="9"/>
  <c r="AD65" i="9"/>
  <c r="AE65" i="9"/>
  <c r="AL65" i="9"/>
  <c r="AM65" i="9"/>
  <c r="AN65" i="9"/>
  <c r="Q66" i="9"/>
  <c r="R66" i="9"/>
  <c r="S66" i="9"/>
  <c r="Z66" i="9"/>
  <c r="AA66" i="9"/>
  <c r="AB66" i="9"/>
  <c r="AC66" i="9"/>
  <c r="AD66" i="9"/>
  <c r="AE66" i="9"/>
  <c r="AL66" i="9"/>
  <c r="AM66" i="9"/>
  <c r="AN66" i="9"/>
  <c r="Q67" i="9"/>
  <c r="R67" i="9"/>
  <c r="S67" i="9"/>
  <c r="Z67" i="9"/>
  <c r="AA67" i="9"/>
  <c r="AB67" i="9"/>
  <c r="AC67" i="9"/>
  <c r="AD67" i="9"/>
  <c r="AE67" i="9"/>
  <c r="AL67" i="9"/>
  <c r="AM67" i="9"/>
  <c r="AN67" i="9"/>
  <c r="Q68" i="9"/>
  <c r="R68" i="9"/>
  <c r="S68" i="9"/>
  <c r="Z68" i="9"/>
  <c r="AA68" i="9"/>
  <c r="AB68" i="9"/>
  <c r="AC68" i="9"/>
  <c r="AD68" i="9"/>
  <c r="AE68" i="9"/>
  <c r="AL68" i="9"/>
  <c r="AM68" i="9"/>
  <c r="AN68" i="9"/>
  <c r="Q69" i="9"/>
  <c r="R69" i="9"/>
  <c r="S69" i="9"/>
  <c r="Z69" i="9"/>
  <c r="AA69" i="9"/>
  <c r="AB69" i="9"/>
  <c r="AC69" i="9"/>
  <c r="AD69" i="9"/>
  <c r="AE69" i="9"/>
  <c r="AL69" i="9"/>
  <c r="AM69" i="9"/>
  <c r="AN69" i="9"/>
  <c r="Q70" i="9"/>
  <c r="R70" i="9"/>
  <c r="S70" i="9"/>
  <c r="Z70" i="9"/>
  <c r="AA70" i="9"/>
  <c r="AB70" i="9"/>
  <c r="AC70" i="9"/>
  <c r="AD70" i="9"/>
  <c r="AE70" i="9"/>
  <c r="AL70" i="9"/>
  <c r="AM70" i="9"/>
  <c r="AN70" i="9"/>
  <c r="Q71" i="9"/>
  <c r="R71" i="9"/>
  <c r="S71" i="9"/>
  <c r="Z71" i="9"/>
  <c r="AA71" i="9"/>
  <c r="AB71" i="9"/>
  <c r="AC71" i="9"/>
  <c r="AD71" i="9"/>
  <c r="AE71" i="9"/>
  <c r="AL71" i="9"/>
  <c r="AM71" i="9"/>
  <c r="AN71" i="9"/>
  <c r="Q72" i="9"/>
  <c r="R72" i="9"/>
  <c r="S72" i="9"/>
  <c r="Z72" i="9"/>
  <c r="AA72" i="9"/>
  <c r="AB72" i="9"/>
  <c r="AC72" i="9"/>
  <c r="AD72" i="9"/>
  <c r="AE72" i="9"/>
  <c r="AL72" i="9"/>
  <c r="AM72" i="9"/>
  <c r="AN72" i="9"/>
  <c r="Q73" i="9"/>
  <c r="R73" i="9"/>
  <c r="S73" i="9"/>
  <c r="Z73" i="9"/>
  <c r="AA73" i="9"/>
  <c r="AB73" i="9"/>
  <c r="AC73" i="9"/>
  <c r="AD73" i="9"/>
  <c r="AE73" i="9"/>
  <c r="AL73" i="9"/>
  <c r="AM73" i="9"/>
  <c r="AN73" i="9"/>
  <c r="Q74" i="9"/>
  <c r="R74" i="9"/>
  <c r="S74" i="9"/>
  <c r="Z74" i="9"/>
  <c r="AA74" i="9"/>
  <c r="AB74" i="9"/>
  <c r="AC74" i="9"/>
  <c r="AD74" i="9"/>
  <c r="AE74" i="9"/>
  <c r="AL74" i="9"/>
  <c r="AM74" i="9"/>
  <c r="AN74" i="9"/>
  <c r="Q75" i="9"/>
  <c r="R75" i="9"/>
  <c r="S75" i="9"/>
  <c r="Z75" i="9"/>
  <c r="AA75" i="9"/>
  <c r="AB75" i="9"/>
  <c r="AC75" i="9"/>
  <c r="AD75" i="9"/>
  <c r="AE75" i="9"/>
  <c r="AL75" i="9"/>
  <c r="AM75" i="9"/>
  <c r="AN75" i="9"/>
  <c r="Q76" i="9"/>
  <c r="R76" i="9"/>
  <c r="S76" i="9"/>
  <c r="Z76" i="9"/>
  <c r="AA76" i="9"/>
  <c r="AB76" i="9"/>
  <c r="AC76" i="9"/>
  <c r="AD76" i="9"/>
  <c r="AE76" i="9"/>
  <c r="AL76" i="9"/>
  <c r="AM76" i="9"/>
  <c r="AN76" i="9"/>
  <c r="Q77" i="9"/>
  <c r="R77" i="9"/>
  <c r="S77" i="9"/>
  <c r="Z77" i="9"/>
  <c r="AA77" i="9"/>
  <c r="AB77" i="9"/>
  <c r="AC77" i="9"/>
  <c r="AD77" i="9"/>
  <c r="AE77" i="9"/>
  <c r="AL77" i="9"/>
  <c r="AM77" i="9"/>
  <c r="AN77" i="9"/>
  <c r="Q78" i="9"/>
  <c r="R78" i="9"/>
  <c r="S78" i="9"/>
  <c r="Z78" i="9"/>
  <c r="AA78" i="9"/>
  <c r="AB78" i="9"/>
  <c r="AC78" i="9"/>
  <c r="AD78" i="9"/>
  <c r="AE78" i="9"/>
  <c r="AL78" i="9"/>
  <c r="AM78" i="9"/>
  <c r="AN78" i="9"/>
  <c r="Q79" i="9"/>
  <c r="R79" i="9"/>
  <c r="S79" i="9"/>
  <c r="Z79" i="9"/>
  <c r="AA79" i="9"/>
  <c r="AB79" i="9"/>
  <c r="AC79" i="9"/>
  <c r="AD79" i="9"/>
  <c r="AE79" i="9"/>
  <c r="AL79" i="9"/>
  <c r="AM79" i="9"/>
  <c r="AN79" i="9"/>
  <c r="Q80" i="9"/>
  <c r="R80" i="9"/>
  <c r="S80" i="9"/>
  <c r="Z80" i="9"/>
  <c r="AA80" i="9"/>
  <c r="AB80" i="9"/>
  <c r="AC80" i="9"/>
  <c r="AD80" i="9"/>
  <c r="AE80" i="9"/>
  <c r="AL80" i="9"/>
  <c r="AM80" i="9"/>
  <c r="AN80" i="9"/>
  <c r="Q81" i="9"/>
  <c r="R81" i="9"/>
  <c r="S81" i="9"/>
  <c r="Z81" i="9"/>
  <c r="AA81" i="9"/>
  <c r="AB81" i="9"/>
  <c r="AC81" i="9"/>
  <c r="AD81" i="9"/>
  <c r="AE81" i="9"/>
  <c r="AL81" i="9"/>
  <c r="AM81" i="9"/>
  <c r="AN81" i="9"/>
  <c r="Q82" i="9"/>
  <c r="R82" i="9"/>
  <c r="S82" i="9"/>
  <c r="Z82" i="9"/>
  <c r="AA82" i="9"/>
  <c r="AB82" i="9"/>
  <c r="AC82" i="9"/>
  <c r="AD82" i="9"/>
  <c r="AE82" i="9"/>
  <c r="AL82" i="9"/>
  <c r="AM82" i="9"/>
  <c r="AN82" i="9"/>
  <c r="Q83" i="9"/>
  <c r="R83" i="9"/>
  <c r="S83" i="9"/>
  <c r="Z83" i="9"/>
  <c r="AA83" i="9"/>
  <c r="AB83" i="9"/>
  <c r="AC83" i="9"/>
  <c r="AD83" i="9"/>
  <c r="AE83" i="9"/>
  <c r="AL83" i="9"/>
  <c r="AM83" i="9"/>
  <c r="AN83" i="9"/>
  <c r="Q84" i="9"/>
  <c r="R84" i="9"/>
  <c r="S84" i="9"/>
  <c r="Z84" i="9"/>
  <c r="AA84" i="9"/>
  <c r="AB84" i="9"/>
  <c r="AC84" i="9"/>
  <c r="AD84" i="9"/>
  <c r="AE84" i="9"/>
  <c r="AL84" i="9"/>
  <c r="AM84" i="9"/>
  <c r="AN84" i="9"/>
  <c r="Q85" i="9"/>
  <c r="R85" i="9"/>
  <c r="S85" i="9"/>
  <c r="Z85" i="9"/>
  <c r="AA85" i="9"/>
  <c r="AB85" i="9"/>
  <c r="AC85" i="9"/>
  <c r="AD85" i="9"/>
  <c r="AE85" i="9"/>
  <c r="AL85" i="9"/>
  <c r="AM85" i="9"/>
  <c r="AN85" i="9"/>
  <c r="Q86" i="9"/>
  <c r="R86" i="9"/>
  <c r="S86" i="9"/>
  <c r="Z86" i="9"/>
  <c r="AA86" i="9"/>
  <c r="AB86" i="9"/>
  <c r="AC86" i="9"/>
  <c r="AD86" i="9"/>
  <c r="AE86" i="9"/>
  <c r="AL86" i="9"/>
  <c r="AM86" i="9"/>
  <c r="AN86" i="9"/>
  <c r="Q87" i="9"/>
  <c r="R87" i="9"/>
  <c r="S87" i="9"/>
  <c r="Z87" i="9"/>
  <c r="AA87" i="9"/>
  <c r="AB87" i="9"/>
  <c r="AC87" i="9"/>
  <c r="AD87" i="9"/>
  <c r="AE87" i="9"/>
  <c r="AL87" i="9"/>
  <c r="AM87" i="9"/>
  <c r="AN87" i="9"/>
  <c r="Q88" i="9"/>
  <c r="R88" i="9"/>
  <c r="S88" i="9"/>
  <c r="Z88" i="9"/>
  <c r="AA88" i="9"/>
  <c r="AB88" i="9"/>
  <c r="AC88" i="9"/>
  <c r="AD88" i="9"/>
  <c r="AE88" i="9"/>
  <c r="AL88" i="9"/>
  <c r="AM88" i="9"/>
  <c r="AN88" i="9"/>
  <c r="Q89" i="9"/>
  <c r="R89" i="9"/>
  <c r="S89" i="9"/>
  <c r="Z89" i="9"/>
  <c r="AA89" i="9"/>
  <c r="AB89" i="9"/>
  <c r="AC89" i="9"/>
  <c r="AD89" i="9"/>
  <c r="AE89" i="9"/>
  <c r="AL89" i="9"/>
  <c r="AM89" i="9"/>
  <c r="AN89" i="9"/>
  <c r="Q90" i="9"/>
  <c r="R90" i="9"/>
  <c r="S90" i="9"/>
  <c r="Z90" i="9"/>
  <c r="AA90" i="9"/>
  <c r="AB90" i="9"/>
  <c r="AC90" i="9"/>
  <c r="AD90" i="9"/>
  <c r="AE90" i="9"/>
  <c r="AL90" i="9"/>
  <c r="AM90" i="9"/>
  <c r="AN90" i="9"/>
  <c r="Q91" i="9"/>
  <c r="R91" i="9"/>
  <c r="S91" i="9"/>
  <c r="Z91" i="9"/>
  <c r="AA91" i="9"/>
  <c r="AB91" i="9"/>
  <c r="AC91" i="9"/>
  <c r="AD91" i="9"/>
  <c r="AE91" i="9"/>
  <c r="AL91" i="9"/>
  <c r="AM91" i="9"/>
  <c r="AN91" i="9"/>
  <c r="Q92" i="9"/>
  <c r="R92" i="9"/>
  <c r="S92" i="9"/>
  <c r="Z92" i="9"/>
  <c r="AA92" i="9"/>
  <c r="AB92" i="9"/>
  <c r="AC92" i="9"/>
  <c r="AD92" i="9"/>
  <c r="AE92" i="9"/>
  <c r="AL92" i="9"/>
  <c r="AM92" i="9"/>
  <c r="AN92" i="9"/>
  <c r="Q93" i="9"/>
  <c r="R93" i="9"/>
  <c r="S93" i="9"/>
  <c r="Z93" i="9"/>
  <c r="AA93" i="9"/>
  <c r="AB93" i="9"/>
  <c r="AC93" i="9"/>
  <c r="AD93" i="9"/>
  <c r="AE93" i="9"/>
  <c r="AL93" i="9"/>
  <c r="AM93" i="9"/>
  <c r="AN93" i="9"/>
  <c r="Q94" i="9"/>
  <c r="R94" i="9"/>
  <c r="S94" i="9"/>
  <c r="Z94" i="9"/>
  <c r="AA94" i="9"/>
  <c r="AB94" i="9"/>
  <c r="AC94" i="9"/>
  <c r="AD94" i="9"/>
  <c r="AE94" i="9"/>
  <c r="AL94" i="9"/>
  <c r="AM94" i="9"/>
  <c r="AN94" i="9"/>
  <c r="Q95" i="9"/>
  <c r="R95" i="9"/>
  <c r="S95" i="9"/>
  <c r="Z95" i="9"/>
  <c r="AA95" i="9"/>
  <c r="AB95" i="9"/>
  <c r="AC95" i="9"/>
  <c r="AD95" i="9"/>
  <c r="AE95" i="9"/>
  <c r="AL95" i="9"/>
  <c r="AM95" i="9"/>
  <c r="AN95" i="9"/>
  <c r="Q96" i="9"/>
  <c r="R96" i="9"/>
  <c r="S96" i="9"/>
  <c r="Z96" i="9"/>
  <c r="AA96" i="9"/>
  <c r="AB96" i="9"/>
  <c r="AC96" i="9"/>
  <c r="AD96" i="9"/>
  <c r="AE96" i="9"/>
  <c r="AL96" i="9"/>
  <c r="AM96" i="9"/>
  <c r="AN96" i="9"/>
  <c r="Q97" i="9"/>
  <c r="R97" i="9"/>
  <c r="S97" i="9"/>
  <c r="Z97" i="9"/>
  <c r="AA97" i="9"/>
  <c r="AB97" i="9"/>
  <c r="AC97" i="9"/>
  <c r="AD97" i="9"/>
  <c r="AE97" i="9"/>
  <c r="AL97" i="9"/>
  <c r="AM97" i="9"/>
  <c r="AN97" i="9"/>
  <c r="Q98" i="9"/>
  <c r="R98" i="9"/>
  <c r="S98" i="9"/>
  <c r="Z98" i="9"/>
  <c r="AA98" i="9"/>
  <c r="AB98" i="9"/>
  <c r="AC98" i="9"/>
  <c r="AD98" i="9"/>
  <c r="AE98" i="9"/>
  <c r="AL98" i="9"/>
  <c r="AM98" i="9"/>
  <c r="AN98" i="9"/>
  <c r="Q99" i="9"/>
  <c r="R99" i="9"/>
  <c r="S99" i="9"/>
  <c r="Z99" i="9"/>
  <c r="AA99" i="9"/>
  <c r="AB99" i="9"/>
  <c r="AC99" i="9"/>
  <c r="AD99" i="9"/>
  <c r="AE99" i="9"/>
  <c r="AL99" i="9"/>
  <c r="AM99" i="9"/>
  <c r="AN99" i="9"/>
  <c r="Q100" i="9"/>
  <c r="R100" i="9"/>
  <c r="S100" i="9"/>
  <c r="Z100" i="9"/>
  <c r="AA100" i="9"/>
  <c r="AB100" i="9"/>
  <c r="AC100" i="9"/>
  <c r="AD100" i="9"/>
  <c r="AE100" i="9"/>
  <c r="AL100" i="9"/>
  <c r="AM100" i="9"/>
  <c r="AN100" i="9"/>
  <c r="Q101" i="9"/>
  <c r="R101" i="9"/>
  <c r="S101" i="9"/>
  <c r="Z101" i="9"/>
  <c r="AA101" i="9"/>
  <c r="AB101" i="9"/>
  <c r="AC101" i="9"/>
  <c r="AD101" i="9"/>
  <c r="AE101" i="9"/>
  <c r="AL101" i="9"/>
  <c r="AM101" i="9"/>
  <c r="AN101" i="9"/>
  <c r="Q102" i="9"/>
  <c r="R102" i="9"/>
  <c r="S102" i="9"/>
  <c r="Z102" i="9"/>
  <c r="AA102" i="9"/>
  <c r="AB102" i="9"/>
  <c r="AC102" i="9"/>
  <c r="AD102" i="9"/>
  <c r="AE102" i="9"/>
  <c r="AL102" i="9"/>
  <c r="AM102" i="9"/>
  <c r="AN102" i="9"/>
  <c r="Q103" i="9"/>
  <c r="R103" i="9"/>
  <c r="S103" i="9"/>
  <c r="Z103" i="9"/>
  <c r="AA103" i="9"/>
  <c r="AB103" i="9"/>
  <c r="AC103" i="9"/>
  <c r="AD103" i="9"/>
  <c r="AE103" i="9"/>
  <c r="AL103" i="9"/>
  <c r="AM103" i="9"/>
  <c r="AN103" i="9"/>
  <c r="Q104" i="9"/>
  <c r="R104" i="9"/>
  <c r="S104" i="9"/>
  <c r="Z104" i="9"/>
  <c r="AA104" i="9"/>
  <c r="AB104" i="9"/>
  <c r="AC104" i="9"/>
  <c r="AD104" i="9"/>
  <c r="AE104" i="9"/>
  <c r="AL104" i="9"/>
  <c r="AM104" i="9"/>
  <c r="AN104" i="9"/>
  <c r="Q105" i="9"/>
  <c r="R105" i="9"/>
  <c r="S105" i="9"/>
  <c r="Z105" i="9"/>
  <c r="AA105" i="9"/>
  <c r="AB105" i="9"/>
  <c r="AC105" i="9"/>
  <c r="AD105" i="9"/>
  <c r="AE105" i="9"/>
  <c r="AL105" i="9"/>
  <c r="AM105" i="9"/>
  <c r="AN105" i="9"/>
  <c r="Q106" i="9"/>
  <c r="R106" i="9"/>
  <c r="S106" i="9"/>
  <c r="Z106" i="9"/>
  <c r="AA106" i="9"/>
  <c r="AB106" i="9"/>
  <c r="AC106" i="9"/>
  <c r="AD106" i="9"/>
  <c r="AE106" i="9"/>
  <c r="AL106" i="9"/>
  <c r="AM106" i="9"/>
  <c r="AN106" i="9"/>
  <c r="Q107" i="9"/>
  <c r="R107" i="9"/>
  <c r="S107" i="9"/>
  <c r="Z107" i="9"/>
  <c r="AA107" i="9"/>
  <c r="AB107" i="9"/>
  <c r="AC107" i="9"/>
  <c r="AD107" i="9"/>
  <c r="AE107" i="9"/>
  <c r="AL107" i="9"/>
  <c r="AM107" i="9"/>
  <c r="AN107" i="9"/>
  <c r="Q108" i="9"/>
  <c r="R108" i="9"/>
  <c r="S108" i="9"/>
  <c r="Z108" i="9"/>
  <c r="AA108" i="9"/>
  <c r="AB108" i="9"/>
  <c r="AC108" i="9"/>
  <c r="AD108" i="9"/>
  <c r="AE108" i="9"/>
  <c r="AL108" i="9"/>
  <c r="AM108" i="9"/>
  <c r="AN108" i="9"/>
  <c r="Q109" i="9"/>
  <c r="R109" i="9"/>
  <c r="S109" i="9"/>
  <c r="Z109" i="9"/>
  <c r="AA109" i="9"/>
  <c r="AB109" i="9"/>
  <c r="AC109" i="9"/>
  <c r="AD109" i="9"/>
  <c r="AE109" i="9"/>
  <c r="AL109" i="9"/>
  <c r="AM109" i="9"/>
  <c r="AN109" i="9"/>
  <c r="Q110" i="9"/>
  <c r="R110" i="9"/>
  <c r="S110" i="9"/>
  <c r="Z110" i="9"/>
  <c r="AA110" i="9"/>
  <c r="AB110" i="9"/>
  <c r="AC110" i="9"/>
  <c r="AD110" i="9"/>
  <c r="AE110" i="9"/>
  <c r="AL110" i="9"/>
  <c r="AM110" i="9"/>
  <c r="AN110" i="9"/>
  <c r="Q111" i="9"/>
  <c r="R111" i="9"/>
  <c r="S111" i="9"/>
  <c r="Z111" i="9"/>
  <c r="AA111" i="9"/>
  <c r="AB111" i="9"/>
  <c r="AC111" i="9"/>
  <c r="AD111" i="9"/>
  <c r="AE111" i="9"/>
  <c r="AL111" i="9"/>
  <c r="AM111" i="9"/>
  <c r="AN111" i="9"/>
  <c r="Q112" i="9"/>
  <c r="R112" i="9"/>
  <c r="S112" i="9"/>
  <c r="Z112" i="9"/>
  <c r="AA112" i="9"/>
  <c r="AB112" i="9"/>
  <c r="AC112" i="9"/>
  <c r="AD112" i="9"/>
  <c r="AE112" i="9"/>
  <c r="AL112" i="9"/>
  <c r="AM112" i="9"/>
  <c r="AN112" i="9"/>
  <c r="Q113" i="9"/>
  <c r="R113" i="9"/>
  <c r="S113" i="9"/>
  <c r="Z113" i="9"/>
  <c r="AA113" i="9"/>
  <c r="AB113" i="9"/>
  <c r="AC113" i="9"/>
  <c r="AD113" i="9"/>
  <c r="AE113" i="9"/>
  <c r="AL113" i="9"/>
  <c r="AM113" i="9"/>
  <c r="AN113" i="9"/>
  <c r="Q114" i="9"/>
  <c r="R114" i="9"/>
  <c r="S114" i="9"/>
  <c r="Z114" i="9"/>
  <c r="AA114" i="9"/>
  <c r="AB114" i="9"/>
  <c r="AC114" i="9"/>
  <c r="AD114" i="9"/>
  <c r="AE114" i="9"/>
  <c r="AL114" i="9"/>
  <c r="AM114" i="9"/>
  <c r="AN114" i="9"/>
  <c r="Q115" i="9"/>
  <c r="R115" i="9"/>
  <c r="S115" i="9"/>
  <c r="Z115" i="9"/>
  <c r="AA115" i="9"/>
  <c r="AB115" i="9"/>
  <c r="AC115" i="9"/>
  <c r="AD115" i="9"/>
  <c r="AE115" i="9"/>
  <c r="AL115" i="9"/>
  <c r="AM115" i="9"/>
  <c r="AN115" i="9"/>
  <c r="Q116" i="9"/>
  <c r="R116" i="9"/>
  <c r="S116" i="9"/>
  <c r="Z116" i="9"/>
  <c r="AA116" i="9"/>
  <c r="AB116" i="9"/>
  <c r="AC116" i="9"/>
  <c r="AD116" i="9"/>
  <c r="AE116" i="9"/>
  <c r="AL116" i="9"/>
  <c r="AM116" i="9"/>
  <c r="AN116" i="9"/>
  <c r="Q117" i="9"/>
  <c r="R117" i="9"/>
  <c r="S117" i="9"/>
  <c r="Z117" i="9"/>
  <c r="AA117" i="9"/>
  <c r="AB117" i="9"/>
  <c r="AC117" i="9"/>
  <c r="AD117" i="9"/>
  <c r="AE117" i="9"/>
  <c r="AL117" i="9"/>
  <c r="AM117" i="9"/>
  <c r="AN117" i="9"/>
  <c r="Q118" i="9"/>
  <c r="R118" i="9"/>
  <c r="S118" i="9"/>
  <c r="Z118" i="9"/>
  <c r="AA118" i="9"/>
  <c r="AB118" i="9"/>
  <c r="AC118" i="9"/>
  <c r="AD118" i="9"/>
  <c r="AE118" i="9"/>
  <c r="AL118" i="9"/>
  <c r="AM118" i="9"/>
  <c r="AN118" i="9"/>
  <c r="Q119" i="9"/>
  <c r="R119" i="9"/>
  <c r="S119" i="9"/>
  <c r="Z119" i="9"/>
  <c r="AA119" i="9"/>
  <c r="AB119" i="9"/>
  <c r="AC119" i="9"/>
  <c r="AD119" i="9"/>
  <c r="AE119" i="9"/>
  <c r="AL119" i="9"/>
  <c r="AM119" i="9"/>
  <c r="AN119" i="9"/>
  <c r="Q120" i="9"/>
  <c r="R120" i="9"/>
  <c r="S120" i="9"/>
  <c r="Z120" i="9"/>
  <c r="AA120" i="9"/>
  <c r="AB120" i="9"/>
  <c r="AC120" i="9"/>
  <c r="AD120" i="9"/>
  <c r="AE120" i="9"/>
  <c r="AL120" i="9"/>
  <c r="AM120" i="9"/>
  <c r="AN120" i="9"/>
  <c r="Q121" i="9"/>
  <c r="R121" i="9"/>
  <c r="S121" i="9"/>
  <c r="Z121" i="9"/>
  <c r="AA121" i="9"/>
  <c r="AB121" i="9"/>
  <c r="AC121" i="9"/>
  <c r="AD121" i="9"/>
  <c r="AE121" i="9"/>
  <c r="AL121" i="9"/>
  <c r="AM121" i="9"/>
  <c r="AN121" i="9"/>
  <c r="Q122" i="9"/>
  <c r="R122" i="9"/>
  <c r="S122" i="9"/>
  <c r="Z122" i="9"/>
  <c r="AA122" i="9"/>
  <c r="AB122" i="9"/>
  <c r="AC122" i="9"/>
  <c r="AD122" i="9"/>
  <c r="AE122" i="9"/>
  <c r="AL122" i="9"/>
  <c r="AM122" i="9"/>
  <c r="AN122" i="9"/>
  <c r="Q123" i="9"/>
  <c r="R123" i="9"/>
  <c r="S123" i="9"/>
  <c r="Z123" i="9"/>
  <c r="AA123" i="9"/>
  <c r="AB123" i="9"/>
  <c r="AC123" i="9"/>
  <c r="AD123" i="9"/>
  <c r="AE123" i="9"/>
  <c r="AL123" i="9"/>
  <c r="AM123" i="9"/>
  <c r="AN123" i="9"/>
  <c r="Q124" i="9"/>
  <c r="R124" i="9"/>
  <c r="S124" i="9"/>
  <c r="Z124" i="9"/>
  <c r="AA124" i="9"/>
  <c r="AB124" i="9"/>
  <c r="AC124" i="9"/>
  <c r="AD124" i="9"/>
  <c r="AE124" i="9"/>
  <c r="AL124" i="9"/>
  <c r="AM124" i="9"/>
  <c r="AN124" i="9"/>
  <c r="Q125" i="9"/>
  <c r="R125" i="9"/>
  <c r="S125" i="9"/>
  <c r="Z125" i="9"/>
  <c r="AA125" i="9"/>
  <c r="AB125" i="9"/>
  <c r="AC125" i="9"/>
  <c r="AD125" i="9"/>
  <c r="AE125" i="9"/>
  <c r="AL125" i="9"/>
  <c r="AM125" i="9"/>
  <c r="AN125" i="9"/>
  <c r="Q126" i="9"/>
  <c r="R126" i="9"/>
  <c r="S126" i="9"/>
  <c r="Z126" i="9"/>
  <c r="AA126" i="9"/>
  <c r="AB126" i="9"/>
  <c r="AC126" i="9"/>
  <c r="AD126" i="9"/>
  <c r="AE126" i="9"/>
  <c r="AL126" i="9"/>
  <c r="AM126" i="9"/>
  <c r="AN126" i="9"/>
  <c r="Q127" i="9"/>
  <c r="R127" i="9"/>
  <c r="S127" i="9"/>
  <c r="Z127" i="9"/>
  <c r="AA127" i="9"/>
  <c r="AB127" i="9"/>
  <c r="AC127" i="9"/>
  <c r="AD127" i="9"/>
  <c r="AE127" i="9"/>
  <c r="AL127" i="9"/>
  <c r="AM127" i="9"/>
  <c r="AN127" i="9"/>
  <c r="Q128" i="9"/>
  <c r="R128" i="9"/>
  <c r="S128" i="9"/>
  <c r="Z128" i="9"/>
  <c r="AA128" i="9"/>
  <c r="AB128" i="9"/>
  <c r="AC128" i="9"/>
  <c r="AD128" i="9"/>
  <c r="AE128" i="9"/>
  <c r="AL128" i="9"/>
  <c r="AM128" i="9"/>
  <c r="AN128" i="9"/>
  <c r="Q129" i="9"/>
  <c r="R129" i="9"/>
  <c r="S129" i="9"/>
  <c r="Z129" i="9"/>
  <c r="AA129" i="9"/>
  <c r="AB129" i="9"/>
  <c r="AC129" i="9"/>
  <c r="AD129" i="9"/>
  <c r="AE129" i="9"/>
  <c r="AL129" i="9"/>
  <c r="AM129" i="9"/>
  <c r="AN129" i="9"/>
  <c r="Q130" i="9"/>
  <c r="R130" i="9"/>
  <c r="S130" i="9"/>
  <c r="Z130" i="9"/>
  <c r="AA130" i="9"/>
  <c r="AB130" i="9"/>
  <c r="AC130" i="9"/>
  <c r="AD130" i="9"/>
  <c r="AE130" i="9"/>
  <c r="AL130" i="9"/>
  <c r="AM130" i="9"/>
  <c r="AN130" i="9"/>
  <c r="Q131" i="9"/>
  <c r="R131" i="9"/>
  <c r="S131" i="9"/>
  <c r="Z131" i="9"/>
  <c r="AA131" i="9"/>
  <c r="AB131" i="9"/>
  <c r="AC131" i="9"/>
  <c r="AD131" i="9"/>
  <c r="AE131" i="9"/>
  <c r="AL131" i="9"/>
  <c r="AM131" i="9"/>
  <c r="AN131" i="9"/>
  <c r="Q132" i="9"/>
  <c r="R132" i="9"/>
  <c r="S132" i="9"/>
  <c r="Z132" i="9"/>
  <c r="AA132" i="9"/>
  <c r="AB132" i="9"/>
  <c r="AC132" i="9"/>
  <c r="AD132" i="9"/>
  <c r="AE132" i="9"/>
  <c r="AL132" i="9"/>
  <c r="AM132" i="9"/>
  <c r="AN132" i="9"/>
  <c r="Q133" i="9"/>
  <c r="R133" i="9"/>
  <c r="S133" i="9"/>
  <c r="Z133" i="9"/>
  <c r="AA133" i="9"/>
  <c r="AB133" i="9"/>
  <c r="AC133" i="9"/>
  <c r="AD133" i="9"/>
  <c r="AE133" i="9"/>
  <c r="AL133" i="9"/>
  <c r="AM133" i="9"/>
  <c r="AN133" i="9"/>
  <c r="Q134" i="9"/>
  <c r="R134" i="9"/>
  <c r="S134" i="9"/>
  <c r="Z134" i="9"/>
  <c r="AA134" i="9"/>
  <c r="AB134" i="9"/>
  <c r="AC134" i="9"/>
  <c r="AD134" i="9"/>
  <c r="AE134" i="9"/>
  <c r="AL134" i="9"/>
  <c r="AM134" i="9"/>
  <c r="AN134" i="9"/>
  <c r="Q135" i="9"/>
  <c r="R135" i="9"/>
  <c r="S135" i="9"/>
  <c r="Z135" i="9"/>
  <c r="AA135" i="9"/>
  <c r="AB135" i="9"/>
  <c r="AC135" i="9"/>
  <c r="AD135" i="9"/>
  <c r="AE135" i="9"/>
  <c r="AL135" i="9"/>
  <c r="AM135" i="9"/>
  <c r="AN135" i="9"/>
  <c r="Q136" i="9"/>
  <c r="R136" i="9"/>
  <c r="S136" i="9"/>
  <c r="Z136" i="9"/>
  <c r="AA136" i="9"/>
  <c r="AB136" i="9"/>
  <c r="AC136" i="9"/>
  <c r="AD136" i="9"/>
  <c r="AE136" i="9"/>
  <c r="AL136" i="9"/>
  <c r="AM136" i="9"/>
  <c r="AN136" i="9"/>
  <c r="Q137" i="9"/>
  <c r="R137" i="9"/>
  <c r="S137" i="9"/>
  <c r="Z137" i="9"/>
  <c r="AA137" i="9"/>
  <c r="AB137" i="9"/>
  <c r="AC137" i="9"/>
  <c r="AD137" i="9"/>
  <c r="AE137" i="9"/>
  <c r="AL137" i="9"/>
  <c r="AM137" i="9"/>
  <c r="AN137" i="9"/>
  <c r="Q138" i="9"/>
  <c r="R138" i="9"/>
  <c r="S138" i="9"/>
  <c r="Z138" i="9"/>
  <c r="AA138" i="9"/>
  <c r="AB138" i="9"/>
  <c r="AC138" i="9"/>
  <c r="AD138" i="9"/>
  <c r="AE138" i="9"/>
  <c r="AL138" i="9"/>
  <c r="AM138" i="9"/>
  <c r="AN138" i="9"/>
  <c r="Q139" i="9"/>
  <c r="R139" i="9"/>
  <c r="S139" i="9"/>
  <c r="Z139" i="9"/>
  <c r="AA139" i="9"/>
  <c r="AB139" i="9"/>
  <c r="AC139" i="9"/>
  <c r="AD139" i="9"/>
  <c r="AE139" i="9"/>
  <c r="AL139" i="9"/>
  <c r="AM139" i="9"/>
  <c r="AN139" i="9"/>
  <c r="Q140" i="9"/>
  <c r="R140" i="9"/>
  <c r="S140" i="9"/>
  <c r="Z140" i="9"/>
  <c r="AA140" i="9"/>
  <c r="AB140" i="9"/>
  <c r="AC140" i="9"/>
  <c r="AD140" i="9"/>
  <c r="AE140" i="9"/>
  <c r="AL140" i="9"/>
  <c r="AM140" i="9"/>
  <c r="AN140" i="9"/>
  <c r="Q141" i="9"/>
  <c r="R141" i="9"/>
  <c r="S141" i="9"/>
  <c r="Z141" i="9"/>
  <c r="AA141" i="9"/>
  <c r="AB141" i="9"/>
  <c r="AC141" i="9"/>
  <c r="AD141" i="9"/>
  <c r="AE141" i="9"/>
  <c r="AL141" i="9"/>
  <c r="AM141" i="9"/>
  <c r="AN141" i="9"/>
  <c r="Q142" i="9"/>
  <c r="R142" i="9"/>
  <c r="S142" i="9"/>
  <c r="Z142" i="9"/>
  <c r="AA142" i="9"/>
  <c r="AB142" i="9"/>
  <c r="AC142" i="9"/>
  <c r="AD142" i="9"/>
  <c r="AE142" i="9"/>
  <c r="AL142" i="9"/>
  <c r="AM142" i="9"/>
  <c r="AN142" i="9"/>
  <c r="Q143" i="9"/>
  <c r="R143" i="9"/>
  <c r="S143" i="9"/>
  <c r="Z143" i="9"/>
  <c r="AA143" i="9"/>
  <c r="AB143" i="9"/>
  <c r="AC143" i="9"/>
  <c r="AD143" i="9"/>
  <c r="AE143" i="9"/>
  <c r="AL143" i="9"/>
  <c r="AM143" i="9"/>
  <c r="AN143" i="9"/>
  <c r="Q144" i="9"/>
  <c r="R144" i="9"/>
  <c r="S144" i="9"/>
  <c r="Z144" i="9"/>
  <c r="AA144" i="9"/>
  <c r="AB144" i="9"/>
  <c r="AC144" i="9"/>
  <c r="AD144" i="9"/>
  <c r="AE144" i="9"/>
  <c r="AL144" i="9"/>
  <c r="AM144" i="9"/>
  <c r="AN144" i="9"/>
  <c r="Q145" i="9"/>
  <c r="R145" i="9"/>
  <c r="S145" i="9"/>
  <c r="Z145" i="9"/>
  <c r="AA145" i="9"/>
  <c r="AB145" i="9"/>
  <c r="AC145" i="9"/>
  <c r="AD145" i="9"/>
  <c r="AE145" i="9"/>
  <c r="AL145" i="9"/>
  <c r="AM145" i="9"/>
  <c r="AN145" i="9"/>
  <c r="Q146" i="9"/>
  <c r="R146" i="9"/>
  <c r="S146" i="9"/>
  <c r="Z146" i="9"/>
  <c r="AA146" i="9"/>
  <c r="AB146" i="9"/>
  <c r="AC146" i="9"/>
  <c r="AD146" i="9"/>
  <c r="AE146" i="9"/>
  <c r="AL146" i="9"/>
  <c r="AM146" i="9"/>
  <c r="AN146" i="9"/>
  <c r="Q147" i="9"/>
  <c r="R147" i="9"/>
  <c r="S147" i="9"/>
  <c r="Z147" i="9"/>
  <c r="AA147" i="9"/>
  <c r="AB147" i="9"/>
  <c r="AC147" i="9"/>
  <c r="AD147" i="9"/>
  <c r="AE147" i="9"/>
  <c r="AL147" i="9"/>
  <c r="AM147" i="9"/>
  <c r="AN147" i="9"/>
  <c r="Q148" i="9"/>
  <c r="R148" i="9"/>
  <c r="S148" i="9"/>
  <c r="Z148" i="9"/>
  <c r="AA148" i="9"/>
  <c r="AB148" i="9"/>
  <c r="AC148" i="9"/>
  <c r="AD148" i="9"/>
  <c r="AE148" i="9"/>
  <c r="AL148" i="9"/>
  <c r="AM148" i="9"/>
  <c r="AN148" i="9"/>
  <c r="Q149" i="9"/>
  <c r="R149" i="9"/>
  <c r="S149" i="9"/>
  <c r="Z149" i="9"/>
  <c r="AA149" i="9"/>
  <c r="AB149" i="9"/>
  <c r="AC149" i="9"/>
  <c r="AD149" i="9"/>
  <c r="AE149" i="9"/>
  <c r="AL149" i="9"/>
  <c r="AM149" i="9"/>
  <c r="AN149" i="9"/>
  <c r="Q150" i="9"/>
  <c r="R150" i="9"/>
  <c r="S150" i="9"/>
  <c r="Z150" i="9"/>
  <c r="AA150" i="9"/>
  <c r="AB150" i="9"/>
  <c r="AC150" i="9"/>
  <c r="AD150" i="9"/>
  <c r="AE150" i="9"/>
  <c r="AL150" i="9"/>
  <c r="AM150" i="9"/>
  <c r="AN150" i="9"/>
  <c r="Q151" i="9"/>
  <c r="R151" i="9"/>
  <c r="S151" i="9"/>
  <c r="Z151" i="9"/>
  <c r="AA151" i="9"/>
  <c r="AB151" i="9"/>
  <c r="AC151" i="9"/>
  <c r="AD151" i="9"/>
  <c r="AE151" i="9"/>
  <c r="AL151" i="9"/>
  <c r="AM151" i="9"/>
  <c r="AN151" i="9"/>
  <c r="AL19" i="9"/>
  <c r="AE19" i="9"/>
  <c r="AD19" i="9"/>
  <c r="AC19" i="9"/>
  <c r="AB19" i="9"/>
  <c r="AA19" i="9"/>
  <c r="Z19" i="9"/>
  <c r="S19" i="9"/>
  <c r="R19" i="9"/>
  <c r="Q19" i="9"/>
  <c r="B3" i="11"/>
  <c r="B2" i="11"/>
  <c r="B4" i="9"/>
  <c r="A5" i="9"/>
  <c r="A1" i="9"/>
  <c r="A106" i="11"/>
  <c r="B106" i="11"/>
  <c r="C106" i="11"/>
  <c r="D106" i="11"/>
  <c r="A107" i="11"/>
  <c r="B107" i="11"/>
  <c r="C107" i="11"/>
  <c r="D107" i="11"/>
  <c r="A108" i="11"/>
  <c r="B108" i="11"/>
  <c r="C108" i="11"/>
  <c r="D108" i="11"/>
  <c r="A109" i="11"/>
  <c r="B109" i="11"/>
  <c r="C109" i="11"/>
  <c r="D109" i="11"/>
  <c r="A110" i="11"/>
  <c r="B110" i="11"/>
  <c r="C110" i="11"/>
  <c r="D110" i="11"/>
  <c r="A111" i="11"/>
  <c r="B111" i="11"/>
  <c r="C111" i="11"/>
  <c r="D111" i="11"/>
  <c r="A112" i="11"/>
  <c r="B112" i="11"/>
  <c r="C112" i="11"/>
  <c r="D112" i="11"/>
  <c r="A113" i="11"/>
  <c r="B113" i="11"/>
  <c r="C113" i="11"/>
  <c r="D113" i="11"/>
  <c r="A114" i="11"/>
  <c r="B114" i="11"/>
  <c r="C114" i="11"/>
  <c r="D114" i="11"/>
  <c r="A115" i="11"/>
  <c r="B115" i="11"/>
  <c r="C115" i="11"/>
  <c r="D115" i="11"/>
  <c r="A116" i="11"/>
  <c r="B116" i="11"/>
  <c r="C116" i="11"/>
  <c r="D116" i="11"/>
  <c r="A117" i="11"/>
  <c r="B117" i="11"/>
  <c r="C117" i="11"/>
  <c r="D117" i="11"/>
  <c r="A118" i="11"/>
  <c r="B118" i="11"/>
  <c r="C118" i="11"/>
  <c r="D118" i="11"/>
  <c r="A119" i="11"/>
  <c r="B119" i="11"/>
  <c r="C119" i="11"/>
  <c r="D119" i="11"/>
  <c r="A120" i="11"/>
  <c r="B120" i="11"/>
  <c r="C120" i="11"/>
  <c r="D120" i="11"/>
  <c r="A121" i="11"/>
  <c r="B121" i="11"/>
  <c r="C121" i="11"/>
  <c r="D121" i="11"/>
  <c r="A122" i="11"/>
  <c r="B122" i="11"/>
  <c r="C122" i="11"/>
  <c r="D122" i="11"/>
  <c r="A123" i="11"/>
  <c r="B123" i="11"/>
  <c r="C123" i="11"/>
  <c r="D123" i="11"/>
  <c r="A124" i="11"/>
  <c r="B124" i="11"/>
  <c r="C124" i="11"/>
  <c r="D124" i="11"/>
  <c r="A125" i="11"/>
  <c r="B125" i="11"/>
  <c r="C125" i="11"/>
  <c r="D125" i="11"/>
  <c r="A126" i="11"/>
  <c r="B126" i="11"/>
  <c r="C126" i="11"/>
  <c r="D126" i="11"/>
  <c r="A127" i="11"/>
  <c r="B127" i="11"/>
  <c r="C127" i="11"/>
  <c r="D127" i="11"/>
  <c r="A128" i="11"/>
  <c r="B128" i="11"/>
  <c r="C128" i="11"/>
  <c r="D128" i="11"/>
  <c r="A129" i="11"/>
  <c r="B129" i="11"/>
  <c r="C129" i="11"/>
  <c r="D129" i="11"/>
  <c r="A130" i="11"/>
  <c r="B130" i="11"/>
  <c r="C130" i="11"/>
  <c r="D130" i="11"/>
  <c r="A131" i="11"/>
  <c r="B131" i="11"/>
  <c r="C131" i="11"/>
  <c r="D131" i="11"/>
  <c r="A132" i="11"/>
  <c r="B132" i="11"/>
  <c r="C132" i="11"/>
  <c r="D132" i="11"/>
  <c r="A133" i="11"/>
  <c r="B133" i="11"/>
  <c r="C133" i="11"/>
  <c r="D133" i="11"/>
  <c r="A134" i="11"/>
  <c r="B134" i="11"/>
  <c r="C134" i="11"/>
  <c r="D134" i="11"/>
  <c r="A135" i="11"/>
  <c r="B135" i="11"/>
  <c r="C135" i="11"/>
  <c r="D135" i="11"/>
  <c r="A136" i="11"/>
  <c r="B136" i="11"/>
  <c r="C136" i="11"/>
  <c r="D136" i="11"/>
  <c r="A137" i="11"/>
  <c r="B137" i="11"/>
  <c r="C137" i="11"/>
  <c r="D137" i="11"/>
  <c r="A138" i="11"/>
  <c r="B138" i="11"/>
  <c r="C138" i="11"/>
  <c r="D138" i="11"/>
  <c r="A139" i="11"/>
  <c r="B139" i="11"/>
  <c r="C139" i="11"/>
  <c r="D139" i="11"/>
  <c r="A140" i="11"/>
  <c r="B140" i="11"/>
  <c r="C140" i="11"/>
  <c r="D140" i="11"/>
  <c r="A141" i="11"/>
  <c r="B141" i="11"/>
  <c r="C141" i="11"/>
  <c r="D141" i="11"/>
  <c r="A142" i="11"/>
  <c r="B142" i="11"/>
  <c r="C142" i="11"/>
  <c r="D142" i="11"/>
  <c r="A143" i="11"/>
  <c r="B143" i="11"/>
  <c r="C143" i="11"/>
  <c r="D143" i="11"/>
  <c r="A144" i="11"/>
  <c r="B144" i="11"/>
  <c r="C144" i="11"/>
  <c r="D144" i="11"/>
  <c r="A145" i="11"/>
  <c r="B145" i="11"/>
  <c r="C145" i="11"/>
  <c r="D145" i="11"/>
  <c r="A14" i="11"/>
  <c r="B14" i="11"/>
  <c r="C14" i="11"/>
  <c r="D14" i="11"/>
  <c r="A15" i="11"/>
  <c r="B15" i="11"/>
  <c r="C15" i="11"/>
  <c r="D15" i="11"/>
  <c r="A16" i="11"/>
  <c r="B16" i="11"/>
  <c r="C16" i="11"/>
  <c r="A17" i="11"/>
  <c r="C17" i="11"/>
  <c r="D17" i="11"/>
  <c r="A18" i="11"/>
  <c r="B18" i="11"/>
  <c r="D18" i="11"/>
  <c r="A19" i="11"/>
  <c r="B19" i="11"/>
  <c r="C19" i="11"/>
  <c r="D19" i="11"/>
  <c r="A20" i="11"/>
  <c r="B20" i="11"/>
  <c r="C20" i="11"/>
  <c r="D20" i="11"/>
  <c r="A21" i="11"/>
  <c r="B21" i="11"/>
  <c r="C21" i="11"/>
  <c r="D21" i="11"/>
  <c r="A22" i="11"/>
  <c r="C22" i="11"/>
  <c r="D22" i="11"/>
  <c r="A23" i="11"/>
  <c r="B23" i="11"/>
  <c r="C23" i="11"/>
  <c r="D23" i="11"/>
  <c r="A24" i="11"/>
  <c r="B24" i="11"/>
  <c r="C24" i="11"/>
  <c r="D24" i="11"/>
  <c r="A25" i="11"/>
  <c r="B25" i="11"/>
  <c r="C25" i="11"/>
  <c r="D25" i="11"/>
  <c r="A26" i="11"/>
  <c r="B26" i="11"/>
  <c r="C26" i="11"/>
  <c r="D26" i="11"/>
  <c r="A27" i="11"/>
  <c r="B27" i="11"/>
  <c r="C27" i="11"/>
  <c r="D27" i="11"/>
  <c r="A28" i="11"/>
  <c r="B28" i="11"/>
  <c r="C28" i="11"/>
  <c r="D28" i="11"/>
  <c r="A29" i="11"/>
  <c r="B29" i="11"/>
  <c r="C29" i="11"/>
  <c r="D29" i="11"/>
  <c r="A30" i="11"/>
  <c r="B30" i="11"/>
  <c r="C30" i="11"/>
  <c r="D30" i="11"/>
  <c r="A31" i="11"/>
  <c r="B31" i="11"/>
  <c r="C31" i="11"/>
  <c r="D31" i="11"/>
  <c r="A32" i="11"/>
  <c r="B32" i="11"/>
  <c r="C32" i="11"/>
  <c r="D32" i="11"/>
  <c r="A33" i="11"/>
  <c r="B33" i="11"/>
  <c r="C33" i="11"/>
  <c r="D33" i="11"/>
  <c r="A34" i="11"/>
  <c r="B34" i="11"/>
  <c r="C34" i="11"/>
  <c r="D34" i="11"/>
  <c r="A35" i="11"/>
  <c r="B35" i="11"/>
  <c r="C35" i="11"/>
  <c r="D35" i="11"/>
  <c r="A36" i="11"/>
  <c r="B36" i="11"/>
  <c r="C36" i="11"/>
  <c r="D36" i="11"/>
  <c r="A37" i="11"/>
  <c r="B37" i="11"/>
  <c r="C37" i="11"/>
  <c r="D37" i="11"/>
  <c r="A38" i="11"/>
  <c r="B38" i="11"/>
  <c r="C38" i="11"/>
  <c r="D38" i="11"/>
  <c r="A39" i="11"/>
  <c r="B39" i="11"/>
  <c r="C39" i="11"/>
  <c r="D39" i="11"/>
  <c r="A40" i="11"/>
  <c r="B40" i="11"/>
  <c r="C40" i="11"/>
  <c r="D40" i="11"/>
  <c r="A41" i="11"/>
  <c r="B41" i="11"/>
  <c r="C41" i="11"/>
  <c r="D41" i="11"/>
  <c r="A42" i="11"/>
  <c r="B42" i="11"/>
  <c r="C42" i="11"/>
  <c r="D42" i="11"/>
  <c r="A43" i="11"/>
  <c r="B43" i="11"/>
  <c r="C43" i="11"/>
  <c r="D43" i="11"/>
  <c r="A44" i="11"/>
  <c r="B44" i="11"/>
  <c r="C44" i="11"/>
  <c r="D44" i="11"/>
  <c r="A45" i="11"/>
  <c r="B45" i="11"/>
  <c r="C45" i="11"/>
  <c r="D45" i="11"/>
  <c r="A46" i="11"/>
  <c r="B46" i="11"/>
  <c r="C46" i="11"/>
  <c r="D46" i="11"/>
  <c r="A47" i="11"/>
  <c r="B47" i="11"/>
  <c r="C47" i="11"/>
  <c r="D47" i="11"/>
  <c r="A48" i="11"/>
  <c r="B48" i="11"/>
  <c r="C48" i="11"/>
  <c r="D48" i="11"/>
  <c r="A49" i="11"/>
  <c r="B49" i="11"/>
  <c r="C49" i="11"/>
  <c r="D49" i="11"/>
  <c r="A50" i="11"/>
  <c r="B50" i="11"/>
  <c r="C50" i="11"/>
  <c r="D50" i="11"/>
  <c r="A51" i="11"/>
  <c r="B51" i="11"/>
  <c r="C51" i="11"/>
  <c r="D51" i="11"/>
  <c r="A52" i="11"/>
  <c r="B52" i="11"/>
  <c r="C52" i="11"/>
  <c r="D52" i="11"/>
  <c r="A53" i="11"/>
  <c r="B53" i="11"/>
  <c r="C53" i="11"/>
  <c r="D53" i="11"/>
  <c r="A54" i="11"/>
  <c r="B54" i="11"/>
  <c r="C54" i="11"/>
  <c r="D54" i="11"/>
  <c r="A55" i="11"/>
  <c r="B55" i="11"/>
  <c r="C55" i="11"/>
  <c r="D55" i="11"/>
  <c r="A56" i="11"/>
  <c r="B56" i="11"/>
  <c r="C56" i="11"/>
  <c r="D56" i="11"/>
  <c r="A57" i="11"/>
  <c r="B57" i="11"/>
  <c r="C57" i="11"/>
  <c r="D57" i="11"/>
  <c r="A58" i="11"/>
  <c r="B58" i="11"/>
  <c r="C58" i="11"/>
  <c r="D58" i="11"/>
  <c r="A59" i="11"/>
  <c r="B59" i="11"/>
  <c r="C59" i="11"/>
  <c r="D59" i="11"/>
  <c r="A60" i="11"/>
  <c r="B60" i="11"/>
  <c r="C60" i="11"/>
  <c r="D60" i="11"/>
  <c r="A61" i="11"/>
  <c r="B61" i="11"/>
  <c r="C61" i="11"/>
  <c r="D61" i="11"/>
  <c r="A62" i="11"/>
  <c r="B62" i="11"/>
  <c r="C62" i="11"/>
  <c r="D62" i="11"/>
  <c r="A63" i="11"/>
  <c r="B63" i="11"/>
  <c r="C63" i="11"/>
  <c r="D63" i="11"/>
  <c r="A64" i="11"/>
  <c r="B64" i="11"/>
  <c r="C64" i="11"/>
  <c r="D64" i="11"/>
  <c r="A65" i="11"/>
  <c r="B65" i="11"/>
  <c r="C65" i="11"/>
  <c r="D65" i="11"/>
  <c r="A66" i="11"/>
  <c r="B66" i="11"/>
  <c r="C66" i="11"/>
  <c r="D66" i="11"/>
  <c r="A67" i="11"/>
  <c r="B67" i="11"/>
  <c r="C67" i="11"/>
  <c r="D67" i="11"/>
  <c r="A68" i="11"/>
  <c r="B68" i="11"/>
  <c r="C68" i="11"/>
  <c r="D68" i="11"/>
  <c r="A69" i="11"/>
  <c r="B69" i="11"/>
  <c r="C69" i="11"/>
  <c r="D69" i="11"/>
  <c r="A70" i="11"/>
  <c r="B70" i="11"/>
  <c r="C70" i="11"/>
  <c r="D70" i="11"/>
  <c r="A71" i="11"/>
  <c r="B71" i="11"/>
  <c r="C71" i="11"/>
  <c r="D71" i="11"/>
  <c r="A72" i="11"/>
  <c r="B72" i="11"/>
  <c r="C72" i="11"/>
  <c r="D72" i="11"/>
  <c r="A73" i="11"/>
  <c r="B73" i="11"/>
  <c r="C73" i="11"/>
  <c r="D73" i="11"/>
  <c r="A74" i="11"/>
  <c r="B74" i="11"/>
  <c r="C74" i="11"/>
  <c r="D74" i="11"/>
  <c r="A75" i="11"/>
  <c r="B75" i="11"/>
  <c r="C75" i="11"/>
  <c r="D75" i="11"/>
  <c r="A76" i="11"/>
  <c r="B76" i="11"/>
  <c r="C76" i="11"/>
  <c r="D76" i="11"/>
  <c r="A77" i="11"/>
  <c r="B77" i="11"/>
  <c r="C77" i="11"/>
  <c r="D77" i="11"/>
  <c r="A78" i="11"/>
  <c r="B78" i="11"/>
  <c r="C78" i="11"/>
  <c r="D78" i="11"/>
  <c r="A79" i="11"/>
  <c r="B79" i="11"/>
  <c r="C79" i="11"/>
  <c r="D79" i="11"/>
  <c r="A80" i="11"/>
  <c r="B80" i="11"/>
  <c r="C80" i="11"/>
  <c r="D80" i="11"/>
  <c r="A81" i="11"/>
  <c r="B81" i="11"/>
  <c r="C81" i="11"/>
  <c r="D81" i="11"/>
  <c r="A82" i="11"/>
  <c r="B82" i="11"/>
  <c r="C82" i="11"/>
  <c r="D82" i="11"/>
  <c r="A83" i="11"/>
  <c r="B83" i="11"/>
  <c r="C83" i="11"/>
  <c r="D83" i="11"/>
  <c r="A84" i="11"/>
  <c r="B84" i="11"/>
  <c r="C84" i="11"/>
  <c r="D84" i="11"/>
  <c r="A85" i="11"/>
  <c r="B85" i="11"/>
  <c r="C85" i="11"/>
  <c r="D85" i="11"/>
  <c r="A86" i="11"/>
  <c r="B86" i="11"/>
  <c r="C86" i="11"/>
  <c r="D86" i="11"/>
  <c r="A87" i="11"/>
  <c r="B87" i="11"/>
  <c r="C87" i="11"/>
  <c r="D87" i="11"/>
  <c r="A88" i="11"/>
  <c r="B88" i="11"/>
  <c r="C88" i="11"/>
  <c r="D88" i="11"/>
  <c r="A89" i="11"/>
  <c r="B89" i="11"/>
  <c r="C89" i="11"/>
  <c r="D89" i="11"/>
  <c r="A90" i="11"/>
  <c r="B90" i="11"/>
  <c r="C90" i="11"/>
  <c r="D90" i="11"/>
  <c r="A91" i="11"/>
  <c r="B91" i="11"/>
  <c r="C91" i="11"/>
  <c r="D91" i="11"/>
  <c r="A92" i="11"/>
  <c r="B92" i="11"/>
  <c r="C92" i="11"/>
  <c r="D92" i="11"/>
  <c r="A93" i="11"/>
  <c r="B93" i="11"/>
  <c r="C93" i="11"/>
  <c r="D93" i="11"/>
  <c r="A94" i="11"/>
  <c r="B94" i="11"/>
  <c r="C94" i="11"/>
  <c r="D94" i="11"/>
  <c r="A95" i="11"/>
  <c r="B95" i="11"/>
  <c r="C95" i="11"/>
  <c r="D95" i="11"/>
  <c r="A96" i="11"/>
  <c r="B96" i="11"/>
  <c r="C96" i="11"/>
  <c r="D96" i="11"/>
  <c r="A97" i="11"/>
  <c r="B97" i="11"/>
  <c r="C97" i="11"/>
  <c r="D97" i="11"/>
  <c r="A98" i="11"/>
  <c r="B98" i="11"/>
  <c r="C98" i="11"/>
  <c r="D98" i="11"/>
  <c r="A99" i="11"/>
  <c r="B99" i="11"/>
  <c r="C99" i="11"/>
  <c r="D99" i="11"/>
  <c r="A100" i="11"/>
  <c r="B100" i="11"/>
  <c r="C100" i="11"/>
  <c r="D100" i="11"/>
  <c r="A101" i="11"/>
  <c r="B101" i="11"/>
  <c r="C101" i="11"/>
  <c r="D101" i="11"/>
  <c r="A102" i="11"/>
  <c r="B102" i="11"/>
  <c r="C102" i="11"/>
  <c r="D102" i="11"/>
  <c r="A103" i="11"/>
  <c r="B103" i="11"/>
  <c r="C103" i="11"/>
  <c r="D103" i="11"/>
  <c r="A104" i="11"/>
  <c r="B104" i="11"/>
  <c r="C104" i="11"/>
  <c r="D104" i="11"/>
  <c r="A105" i="11"/>
  <c r="B105" i="11"/>
  <c r="C105" i="11"/>
  <c r="D105" i="11"/>
  <c r="B13" i="11"/>
  <c r="C13" i="11"/>
  <c r="D13" i="11"/>
  <c r="A13" i="11"/>
  <c r="A28" i="2" l="1"/>
  <c r="A29" i="2"/>
  <c r="D29" i="2"/>
  <c r="D30" i="2" s="1"/>
  <c r="D31" i="2" s="1"/>
  <c r="C29" i="2"/>
  <c r="C30" i="2" s="1"/>
  <c r="B29" i="2"/>
  <c r="B31" i="2" s="1"/>
  <c r="B30" i="2" l="1"/>
  <c r="C31" i="2"/>
  <c r="D44" i="2"/>
  <c r="D43" i="2"/>
  <c r="D42" i="2"/>
  <c r="D41" i="2"/>
  <c r="C44" i="2"/>
  <c r="C43" i="2"/>
  <c r="C42" i="2"/>
  <c r="C41" i="2"/>
  <c r="B42" i="2"/>
  <c r="B41" i="2"/>
  <c r="C13" i="2" l="1"/>
  <c r="C16" i="2" s="1"/>
  <c r="C17" i="2" s="1"/>
  <c r="C18" i="2" s="1"/>
  <c r="C21" i="2" s="1"/>
  <c r="D13" i="2"/>
  <c r="D16" i="2" s="1"/>
  <c r="B13" i="2"/>
  <c r="A31" i="2"/>
  <c r="A30" i="2"/>
  <c r="A27" i="2"/>
  <c r="D17" i="2" l="1"/>
  <c r="D18" i="2" s="1"/>
  <c r="D21" i="2" s="1"/>
  <c r="B16" i="2"/>
  <c r="B17" i="2" s="1"/>
  <c r="B18" i="2" s="1"/>
  <c r="B21" i="2" s="1"/>
  <c r="A72" i="2"/>
  <c r="A70" i="2"/>
  <c r="A63" i="2"/>
  <c r="A56" i="2"/>
  <c r="A49" i="2"/>
  <c r="A41" i="2"/>
  <c r="A71" i="2"/>
  <c r="A66" i="2"/>
  <c r="A59" i="2"/>
  <c r="A52" i="2"/>
  <c r="A44" i="2"/>
  <c r="A65" i="2"/>
  <c r="A58" i="2"/>
  <c r="A51" i="2"/>
  <c r="A43" i="2"/>
  <c r="A73" i="2"/>
  <c r="A64" i="2"/>
  <c r="A57" i="2"/>
  <c r="A50" i="2"/>
  <c r="A42" i="2"/>
  <c r="D50" i="2" l="1"/>
  <c r="D57" i="2" s="1"/>
  <c r="D64" i="2" s="1"/>
  <c r="D71" i="2" s="1"/>
  <c r="D51" i="2"/>
  <c r="D58" i="2" s="1"/>
  <c r="D65" i="2" s="1"/>
  <c r="D72" i="2" s="1"/>
  <c r="D52" i="2"/>
  <c r="D59" i="2" s="1"/>
  <c r="D66" i="2" s="1"/>
  <c r="D73" i="2" s="1"/>
  <c r="D49" i="2"/>
  <c r="D56" i="2" s="1"/>
  <c r="D63" i="2" s="1"/>
  <c r="D70" i="2" s="1"/>
  <c r="C50" i="2"/>
  <c r="C57" i="2" s="1"/>
  <c r="C64" i="2" s="1"/>
  <c r="C71" i="2" s="1"/>
  <c r="C52" i="2"/>
  <c r="C59" i="2" s="1"/>
  <c r="C66" i="2" s="1"/>
  <c r="C73" i="2" s="1"/>
  <c r="C49" i="2"/>
  <c r="C56" i="2" s="1"/>
  <c r="C63" i="2" s="1"/>
  <c r="C70" i="2" s="1"/>
  <c r="C51" i="2"/>
  <c r="C58" i="2" s="1"/>
  <c r="C65" i="2" s="1"/>
  <c r="C72" i="2" s="1"/>
  <c r="B50" i="2" l="1"/>
  <c r="B57" i="2" s="1"/>
  <c r="B64" i="2" s="1"/>
  <c r="B71" i="2" s="1"/>
  <c r="B51" i="2"/>
  <c r="B58" i="2" s="1"/>
  <c r="B65" i="2" s="1"/>
  <c r="B72" i="2" s="1"/>
  <c r="B52" i="2"/>
  <c r="B59" i="2" s="1"/>
  <c r="B66" i="2" s="1"/>
  <c r="B73" i="2" s="1"/>
  <c r="B49" i="2"/>
  <c r="B56" i="2" s="1"/>
  <c r="B63" i="2" s="1"/>
  <c r="B70" i="2" s="1"/>
  <c r="A1" i="2"/>
  <c r="A10" i="2" l="1"/>
</calcChain>
</file>

<file path=xl/sharedStrings.xml><?xml version="1.0" encoding="utf-8"?>
<sst xmlns="http://schemas.openxmlformats.org/spreadsheetml/2006/main" count="282" uniqueCount="232">
  <si>
    <t>(Use BIWEEKLY Net-To-Carrier Rates)</t>
  </si>
  <si>
    <t>CARRIER NAME</t>
  </si>
  <si>
    <t>STATE</t>
  </si>
  <si>
    <t>CODE</t>
  </si>
  <si>
    <t>SELF</t>
  </si>
  <si>
    <t>FAMILY</t>
  </si>
  <si>
    <t>(b)</t>
  </si>
  <si>
    <t>3. FEHB Rates Plus Special Benefit Loadings</t>
  </si>
  <si>
    <t>4c. Subtotal [(3) + (4a) + (4b)]</t>
  </si>
  <si>
    <t>4d. Estimated Premium Underpayment Percentage</t>
  </si>
  <si>
    <t>4e. Premium Underpayment Loading [(4c) x (4d)]</t>
  </si>
  <si>
    <t>Beginning Capitation Rates</t>
  </si>
  <si>
    <t>Age/Sex Factor</t>
  </si>
  <si>
    <t>Percentage of Self Contracts</t>
  </si>
  <si>
    <t>Percentage of Self + 1 Contracts</t>
  </si>
  <si>
    <t>Percentage of Family Contracts</t>
  </si>
  <si>
    <t>Average Family Size</t>
  </si>
  <si>
    <t>1st Level Step-Up Factor (Self/Capitation)</t>
  </si>
  <si>
    <t>Self+1/Self Ratio</t>
  </si>
  <si>
    <t>Family/Self Ratio</t>
  </si>
  <si>
    <t xml:space="preserve">Self Rates </t>
  </si>
  <si>
    <t>Self+1 Rates</t>
  </si>
  <si>
    <t>Family Rates</t>
  </si>
  <si>
    <t>Experience Period</t>
  </si>
  <si>
    <t>Total Paid Claims (before any COB)</t>
  </si>
  <si>
    <t>Total COB (including CMS)</t>
  </si>
  <si>
    <t>Annual Trend</t>
  </si>
  <si>
    <t>Total Trend from Experience Period</t>
  </si>
  <si>
    <t>Expected Claims</t>
  </si>
  <si>
    <t>Administration (&amp; Profit)</t>
  </si>
  <si>
    <t>Total Expected Claims + Admin + Profit</t>
  </si>
  <si>
    <t>Members</t>
  </si>
  <si>
    <t>Per Member Rates</t>
  </si>
  <si>
    <t>Benefit</t>
  </si>
  <si>
    <t>Cost/Member</t>
  </si>
  <si>
    <t>Self Rates</t>
  </si>
  <si>
    <t>Ex. $10/$20/$45 Rx Benefit</t>
  </si>
  <si>
    <t>$45.93 PMPM</t>
  </si>
  <si>
    <t>$48.34 (Rates are Self Rates times Family Ratio of 1.9)</t>
  </si>
  <si>
    <t>$58.51 (Rates are Self Rates times Family Ratio of 2.3)</t>
  </si>
  <si>
    <t>Ex. $20 Urgent Care</t>
  </si>
  <si>
    <t>$4.39 PMPM</t>
  </si>
  <si>
    <t>(c)</t>
  </si>
  <si>
    <t>(d)</t>
  </si>
  <si>
    <t>(e)</t>
  </si>
  <si>
    <t>(f)</t>
  </si>
  <si>
    <t>(g)</t>
  </si>
  <si>
    <t>(h)</t>
  </si>
  <si>
    <t xml:space="preserve">Medicare Coverage </t>
  </si>
  <si>
    <t xml:space="preserve">Part A Only </t>
  </si>
  <si>
    <t>Part B Only</t>
  </si>
  <si>
    <t>Parts A &amp; B</t>
  </si>
  <si>
    <t>No Coverage</t>
  </si>
  <si>
    <t>Total FEHB Members (F)</t>
  </si>
  <si>
    <t>Cost Per Member (E / F)</t>
  </si>
  <si>
    <t>Self Loading</t>
  </si>
  <si>
    <t>Self+1 Loading</t>
  </si>
  <si>
    <t>Family Loading</t>
  </si>
  <si>
    <t>NAME</t>
  </si>
  <si>
    <t>1.</t>
  </si>
  <si>
    <t>2.</t>
  </si>
  <si>
    <t>3.</t>
  </si>
  <si>
    <t>4.</t>
  </si>
  <si>
    <t>5.</t>
  </si>
  <si>
    <t>6.</t>
  </si>
  <si>
    <t>7.</t>
  </si>
  <si>
    <t>8.</t>
  </si>
  <si>
    <t>9.</t>
  </si>
  <si>
    <t>10.</t>
  </si>
  <si>
    <t>ENROLLMENT</t>
  </si>
  <si>
    <t>This page is for carriers that are state-mandated to TCR.</t>
  </si>
  <si>
    <t>Resulting Capitation Rate</t>
  </si>
  <si>
    <t>Enter the Special Benefit Loadings (if appropriate) under Line 2 of Attachment II.  If you are submitting an Excel file, please keep the formulas in the spreadsheet.</t>
  </si>
  <si>
    <t>Enter any Medicare Loading (if appropriate) on line 4b of Attachment II.</t>
  </si>
  <si>
    <t>or:</t>
  </si>
  <si>
    <t>Alternative Backup Medicare Loading Form</t>
  </si>
  <si>
    <t>YEAR</t>
  </si>
  <si>
    <t>SELF + 1</t>
  </si>
  <si>
    <r>
      <t xml:space="preserve">OPTION </t>
    </r>
    <r>
      <rPr>
        <b/>
        <sz val="9"/>
        <color theme="1"/>
        <rFont val="Calibri"/>
        <family val="2"/>
        <scheme val="minor"/>
      </rPr>
      <t>(High/Standard/HDHP/CDHP/Basic/Value)</t>
    </r>
  </si>
  <si>
    <t>Attachment IIA - Backup Line 1 Form - TCR &amp; CRC</t>
  </si>
  <si>
    <t>Attachment IIA - Backup Line 1 Form - ACR</t>
  </si>
  <si>
    <t>Attachment IIA - Special Benefits Loading Form</t>
  </si>
  <si>
    <t>Attachment IIA - Medicare Loading Form</t>
  </si>
  <si>
    <t>Attachment IIA - Potential SSSGs Form</t>
  </si>
  <si>
    <t>Self</t>
  </si>
  <si>
    <t>Self+1</t>
  </si>
  <si>
    <t>Family</t>
  </si>
  <si>
    <t>% increase in Enrollee Contribution</t>
  </si>
  <si>
    <t>*OPM does not know what the government contribution will be until all rates are finalized.</t>
  </si>
  <si>
    <t xml:space="preserve">(a)  </t>
  </si>
  <si>
    <t>Contract Number</t>
  </si>
  <si>
    <t>Self Enrollment Code</t>
  </si>
  <si>
    <t xml:space="preserve"> </t>
  </si>
  <si>
    <t>State or Region</t>
  </si>
  <si>
    <t>State/Region</t>
  </si>
  <si>
    <t>AS OF (MM/DD/YYYY)</t>
  </si>
  <si>
    <t>2a. Special Benefits Loading [Enter Details]</t>
  </si>
  <si>
    <t>2b. Special Benefits Loading [Enter Details]</t>
  </si>
  <si>
    <t>4a. Standard Loadings / Extension of Coverage [.004x(3)]</t>
  </si>
  <si>
    <t>4b. Standard Loadings / Medicare Loading</t>
  </si>
  <si>
    <t>Description</t>
  </si>
  <si>
    <t>5b. (i) SSSG Discount (for TCR plans only)</t>
  </si>
  <si>
    <t>5b. (ii) Other Discount</t>
  </si>
  <si>
    <t>Percentage</t>
  </si>
  <si>
    <t>(A)
Count</t>
  </si>
  <si>
    <t>(B)
Cost of Benefits</t>
  </si>
  <si>
    <t>(C) 
FEHB Premium</t>
  </si>
  <si>
    <t>(D)
Money from CMS</t>
  </si>
  <si>
    <t>Plan Cost
A*(B-C-D)</t>
  </si>
  <si>
    <t>Total Count</t>
  </si>
  <si>
    <t>Total Plan Costs (E)</t>
  </si>
  <si>
    <t>Please include all FEHB Option you are proposing as Small in this chart and upload this file to each plan code in the RST.</t>
  </si>
  <si>
    <t>Please include all FEHB Options you are proposing in this chart and include this chart with each option's proposal.</t>
  </si>
  <si>
    <t>Attachment I Questionnaire</t>
  </si>
  <si>
    <r>
      <t xml:space="preserve">OPTION 
</t>
    </r>
    <r>
      <rPr>
        <b/>
        <sz val="9"/>
        <color theme="1"/>
        <rFont val="Calibri"/>
        <family val="2"/>
        <scheme val="minor"/>
      </rPr>
      <t>(High/Standard/HDHP/
CDHP/Basic/Value)</t>
    </r>
  </si>
  <si>
    <t>Attachment IA Questionnaire</t>
  </si>
  <si>
    <t xml:space="preserve">* A Non-Medicare enrollee is defined as one who has no Medicare coverage of any kind. A Medicare enrollee is defined as one who has Part A only, Part B only, or both Part A and B of Medicare coverage.
</t>
  </si>
  <si>
    <t>Attachment IA Questionnaire Notes</t>
  </si>
  <si>
    <t>1.  Are you state mandated to rate large groups TCR? (Yes or No)</t>
  </si>
  <si>
    <t>Attachment IIB Questionnaire Notes</t>
  </si>
  <si>
    <t>* A Non-Medicare enrollee is defined as one who has no Medicare coverage of any kind. A Medicare enrollee is defined as one who has Part A only, Part B only, or both Part A and B of Medicare coverage.</t>
  </si>
  <si>
    <t xml:space="preserve">
</t>
  </si>
  <si>
    <t>Attachment IIB Questionnaire</t>
  </si>
  <si>
    <r>
      <rPr>
        <b/>
        <sz val="12"/>
        <color theme="1"/>
        <rFont val="Calibri"/>
        <family val="2"/>
        <scheme val="minor"/>
      </rPr>
      <t xml:space="preserve">Note: </t>
    </r>
    <r>
      <rPr>
        <sz val="12"/>
        <color theme="1"/>
        <rFont val="Calibri"/>
        <family val="2"/>
        <scheme val="minor"/>
      </rPr>
      <t>Include any necessary backup calculations here to support these loadings.</t>
    </r>
  </si>
  <si>
    <t xml:space="preserve">You must also keep a list on file of all potential SSSGs ranked by the group’s most recent TCR enrollment (but no later than March 31 of the current year). </t>
  </si>
  <si>
    <t>SSSGs will be chosen from the list on file in the event that the potential SSSGs listed below no longer qualify to be SSSGs at the time of reconciliation.</t>
  </si>
  <si>
    <t xml:space="preserve">If you choose to submit potential SSSGs in the proposal, fill out the form below. </t>
  </si>
  <si>
    <t>Attachment I Notes</t>
  </si>
  <si>
    <t>Input Estimate of Percent Increase or Decrease of Government Contribution</t>
  </si>
  <si>
    <t xml:space="preserve">Percent Change </t>
  </si>
  <si>
    <t>These columns show the Government Contribution for non-postal employees and annuitants.</t>
  </si>
  <si>
    <t>OPM does not know what the government contribution will be until all rates are finalized.</t>
  </si>
  <si>
    <r>
      <t xml:space="preserve">ESTIMATED % increase in Enrollee Contribution
</t>
    </r>
    <r>
      <rPr>
        <i/>
        <sz val="11"/>
        <color theme="1"/>
        <rFont val="Calibri"/>
        <family val="2"/>
        <scheme val="minor"/>
      </rPr>
      <t>Self+1</t>
    </r>
  </si>
  <si>
    <r>
      <t xml:space="preserve">ESTIMATED % increase in Enrollee Contribution
</t>
    </r>
    <r>
      <rPr>
        <i/>
        <sz val="11"/>
        <color theme="1"/>
        <rFont val="Calibri"/>
        <family val="2"/>
        <scheme val="minor"/>
      </rPr>
      <t>Family</t>
    </r>
  </si>
  <si>
    <t>Please answer the questions in Attachment IIB of the Word Document that accompanies this Excel file.</t>
  </si>
  <si>
    <t>ESTIMATED % increase in Enrollee Contribution
Self</t>
  </si>
  <si>
    <t>These tables are provided to give plans an idea of what their enrollee contribution will be under different assumptions of the government contribution.</t>
  </si>
  <si>
    <t>Columns N-AQ are provided to give you an idea of what your plan's enrollee contribution will be under different assumptions of the government contribution.</t>
  </si>
  <si>
    <t xml:space="preserve">Enter the results on line 1 of Attachment II.  If this forms is not appropriate, create/modify a form and place it here. </t>
  </si>
  <si>
    <t>Q2. What are the 2024 proposed Federal group rates?
Self</t>
  </si>
  <si>
    <t>Q2. What are the 2024 proposed Federal group rates? 
Self+1</t>
  </si>
  <si>
    <t>Q2. What are the 2024 proposed Federal group rates? 
Family</t>
  </si>
  <si>
    <t>Q4. What are the proposed 2024 Federal group rates after adjustments?
Self</t>
  </si>
  <si>
    <t>Q4. What are the proposed 2024 Federal group rates after adjustments?
Self+1</t>
  </si>
  <si>
    <t>Q4. What are the proposed 2024 Federal group rates after adjustments?
Family</t>
  </si>
  <si>
    <t>2024 Gross Premium
Self</t>
  </si>
  <si>
    <t>2024 Gross Premium
Self+1</t>
  </si>
  <si>
    <t>2024 Gross Premium
Family</t>
  </si>
  <si>
    <t>ESTIMATED 2024 Maximum Government Contribution
Self</t>
  </si>
  <si>
    <t>ESTIMATED 2024 Maximum Government Contribution
Self+1</t>
  </si>
  <si>
    <t>ESTIMATED 2024 Maximum Government Contribution
Family</t>
  </si>
  <si>
    <t>ESTIMATED 2024 Government Contribution
Self</t>
  </si>
  <si>
    <t>ESTIMATED 2024 Government Contribution
Self+1</t>
  </si>
  <si>
    <t>ESTIMATED 2024 Government Contribution
Family</t>
  </si>
  <si>
    <t>ESTIMATED 2024 Enrollee Contribution
Self</t>
  </si>
  <si>
    <t>ESTIMATED 2024 Enrollee Contribution
Self+1</t>
  </si>
  <si>
    <t>ESTIMATED 2024 Enrollee Contribution
Family</t>
  </si>
  <si>
    <t>Please enter your estimate if the increase in the 2023 Maximum Government Contribution in cell B14.</t>
  </si>
  <si>
    <t>Q3. Enter the adjustment to the 2024 proposed Federal group rates as a result of the reconciliation of the 2023 Federal group rates.
Self</t>
  </si>
  <si>
    <t xml:space="preserve"> Q3. Enter the adjustment to the 2024 proposed Federal group rates as a result of the reconciliation of the 2023 Federal group rates. 
Self+1</t>
  </si>
  <si>
    <t>Q3. Enter the adjustment to the 2024 proposed Federal group rates as a result of the reconciliation of the 2023 Federal group rates. 
Family</t>
  </si>
  <si>
    <t>2023 Net-to-Carrier Rates
Self</t>
  </si>
  <si>
    <t>2023 Net-to-Carrier Rates
Self+1</t>
  </si>
  <si>
    <t>2023 Net-to-Carrier Rates
Family</t>
  </si>
  <si>
    <t>2023 Gross Premium (Net-to-Carrier Rates * 1.04)
Self</t>
  </si>
  <si>
    <t>2023 Gross Premium (Net-to-Carrier Rates * 1.04)
Self+1</t>
  </si>
  <si>
    <t>2023 Gross Premium (Net-to-Carrier Rates * 1.04)
Family</t>
  </si>
  <si>
    <t>2023 Maximum Government Contribution
Self</t>
  </si>
  <si>
    <t>2023 Maximum Government Contribution
Self+1</t>
  </si>
  <si>
    <t>2023 Maximum Government Contribution
Family</t>
  </si>
  <si>
    <t>2023 Government Contribution
Self</t>
  </si>
  <si>
    <t>2023 Government Contribution
Self+1</t>
  </si>
  <si>
    <t>2023 Government Contribution
Family</t>
  </si>
  <si>
    <t>2023 Enrollee Contribution
Self</t>
  </si>
  <si>
    <t>2023 Enrollee Contribution
Self+1</t>
  </si>
  <si>
    <t>2023 Enrollee Contribution
Family</t>
  </si>
  <si>
    <t xml:space="preserve">Please begin entering your biweekly rates in row 19. </t>
  </si>
  <si>
    <t>4b. 2024 In-network Non-Medicare Actuarial Value using the set of 2024 benefits proposed</t>
  </si>
  <si>
    <t>Question 4 - Enter your plan's Actuarial Value (AV) for In-Network Benefits for a Non-Medicare Enrollee* based on the Center for Medicare and Medicaid Serves (CMS) 2023 Actuarial Value Calculator**. Please provide a separate actuarial value for each plan option.</t>
  </si>
  <si>
    <t xml:space="preserve">** CMS 2023 Actuarial Value Calculator can be found here: http://www.cms.gov/cciio/resources/regulations-and-guidance/index.html </t>
  </si>
  <si>
    <t>2b. If yes, what is Line 10, Payment Due Carrier/(FEHB), on Attachment III your 2023 Reconciliation?</t>
  </si>
  <si>
    <t>2c. Is the 2023 Line 10 amount Positive or Negative?</t>
  </si>
  <si>
    <t>4a. 2023 In-network Non-Medicare Actuarial Value (Please leave this question blank if you did not participate in the FEHB in 2023.)</t>
  </si>
  <si>
    <t>If you were unable to use CMS' 2023 Actuarial Value Calculator, briefly describe why you were unable to use the calculator and how you developed the AV value provided:</t>
  </si>
  <si>
    <t>2a.  Is your income for 2022 greater than $2,000,000? (Yes or No)</t>
  </si>
  <si>
    <t>3b. If yes, what is Line 10, Payment Due Carrier/(FEHB), on Attachment III your 2022 Reconciliation?</t>
  </si>
  <si>
    <t>3c. Is the 2022 Line 10 amount Positive or Negative?</t>
  </si>
  <si>
    <t>3a.  Is your income for 2021 greater than $2,000,000 (Yes or No)?</t>
  </si>
  <si>
    <t xml:space="preserve">** CMS 2023 Actuarial Value Calculator can be found here: http://www.cms.gov/cciio/resources/regulations-and-guidance/index.html   </t>
  </si>
  <si>
    <t>QG21. Please be specific, for example we would want to see 'Increased utilization of specialty drugs and high-tech imaging' versus 'Increased utilization' or if medical trend is a contributing factor what types of services are primarily responsible for the increase.</t>
  </si>
  <si>
    <t>QG22. Enter your plan's Actuarial Value (AV) for In-Network Benefits for a Non-Medicare Enrollee* based on the Center for Medicare and Medicaid Serves (CMS) 2023 Actuarial Value Calculator**.  Please provide a separate actuarial value for each plan option.</t>
  </si>
  <si>
    <t>QG23. Please provide the breakdown of COVID costs and utilization data for calendar year 2022 in QG23b-QG23l.</t>
  </si>
  <si>
    <t xml:space="preserve">QG24. Please fill out the following charts with your March 2023 Enrollment.  The number of contracts in QG24b + QG24c  should equal the number of contracts in QG24d + QG24e.  </t>
  </si>
  <si>
    <t xml:space="preserve">QG21a.  List the top three contributors to your increase in the 2024 rates proposed. Also provide any significant savings that are offsetting increases to 2024 rates.  Please read cell A7 before answering this questions.  </t>
  </si>
  <si>
    <t>QG22a.  2023 In-network Non-Medicare Actuarial Value (Please leave this question blank if you did not participate in the FEHB in 2023.)</t>
  </si>
  <si>
    <t>QG22b.  2024 In-network Non-Medicare Actuarial Value using the set of 2024 benefits proposed</t>
  </si>
  <si>
    <t>QG22c.  Please provide the 2024  Actuarial Value of your drug benefit used to determine Creditable Coverage.</t>
  </si>
  <si>
    <t xml:space="preserve">QG23a. 
What are the total claims incurred in 2022 and paid through March 31, 2023? </t>
  </si>
  <si>
    <t xml:space="preserve">QG23b. 
What are the total claims incurred in 2022 and paid through March 31, 2023, attributable to COVID-19? </t>
  </si>
  <si>
    <t>QG23c. 
Over-the-Counter (OTC) COVID-19 Testing Claims Cost</t>
  </si>
  <si>
    <t>QG23d. 
OTC Unique Members COVID-19 tested</t>
  </si>
  <si>
    <t>QG23e. 
OTC Number of COVID-19  tests</t>
  </si>
  <si>
    <t>QG23f. 
Non-OTC  COVID-19 Testing Claims Cost</t>
  </si>
  <si>
    <t>QG23g. 
Non-OTC Unique Members  COVID-19  tested</t>
  </si>
  <si>
    <t>QG23h. 
Non-OTC Number of  COVID-19 tests</t>
  </si>
  <si>
    <t>QG23i. 
COVID-19 Treatment Claims Cost**</t>
  </si>
  <si>
    <t>QG23j. 
Unique Members  COVID-19 treated</t>
  </si>
  <si>
    <t>QG23k. 
Other COVID-19 Claims Cost**</t>
  </si>
  <si>
    <t>QG23l. 
** Please define what costs are included in the  COVID-19 Treatment and Other categories (QG23i and QG23k):</t>
  </si>
  <si>
    <t>QG24a. March 2023  Contracts Self Only</t>
  </si>
  <si>
    <t xml:space="preserve">QG24b.  March 2023 Contracts Self Plus One </t>
  </si>
  <si>
    <t xml:space="preserve">QG24c.  March 2023 Contracts
Self and Family  </t>
  </si>
  <si>
    <t>QG24d. March 2023 
Contracts with 2 Members</t>
  </si>
  <si>
    <t>QG24e. March 2023 
Contracts with 3 or More Members</t>
  </si>
  <si>
    <t>QG24f. March 2023 Contracts
Self Only Actives</t>
  </si>
  <si>
    <t>QG24g. March 2023 Contracts
Self Only Annuitants without Medicare</t>
  </si>
  <si>
    <t>QG24h. March 2023 Contracts
Self Only Annuitants with Medicare</t>
  </si>
  <si>
    <t>QG24i. March 2023 Contracts
Self Plus One Actives</t>
  </si>
  <si>
    <t>QG24j. March 2023 Contracts
Self Plus One Annuitants without Medicare</t>
  </si>
  <si>
    <t>QG24k. March 2023 Contracts
Self Plus One Annuitants with Medicare</t>
  </si>
  <si>
    <t>QG24l. March 2023 Contracts Self and Family Actives</t>
  </si>
  <si>
    <t>QG24m. March 2023 Contracts Self and Family Annuitants without Medicare</t>
  </si>
  <si>
    <t>QG24n. March 2023 Contracts
Self and Family Annuitants with Medicare</t>
  </si>
  <si>
    <t>QG24o. March 2023 Two Member Contracts Actives</t>
  </si>
  <si>
    <t>QG24p. March 2023 
Two Member Contracts Annuitants without Medicare</t>
  </si>
  <si>
    <t>QG24q. March 2023 Two Member Contracts Annuitants with Medicare</t>
  </si>
  <si>
    <t>QG24r. March 2023 Three or more Member Contracts Actives</t>
  </si>
  <si>
    <t>QG24s. March 2023 
Three or more Member Contracts Annuitants without Medicare</t>
  </si>
  <si>
    <t>QG24t. March 2023 
Three or more Member Contracts Annuitants with Medicare</t>
  </si>
  <si>
    <t>QG24. For each tier, please break out the number of contracts that are held by Active employees, Annuitants without Medicare, and Annuitants with Medicare.  Status should be determined by the status of the contract holder.  The Annuitants with Medicare category should include annuitants who have Part A only, Part B only, or Part A and B.</t>
  </si>
  <si>
    <t xml:space="preserve">QG21b.  Please provide the numerical impact of each contributor in QG21a. </t>
  </si>
  <si>
    <t>OG21c. Please provide your community trend and explain the breakdown between increased/decreased utilization and increased/decreased cost. For example, we are looking for the following, community trend = 8.0%; costs inc 6.0% and utilization inc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</si>
</sst>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 #,##0_);_(* \(#,##0\);_(* &quot;-&quot;??_);_(@_)"/>
  </numFmts>
  <fonts count="35" x14ac:knownFonts="1">
    <font>
      <sz val="11"/>
      <color theme="1"/>
      <name val="Calibri"/>
      <family val="2"/>
      <scheme val="minor"/>
    </font>
    <font>
      <b/>
      <sz val="11"/>
      <color theme="1"/>
      <name val="Calibri"/>
      <family val="2"/>
      <scheme val="minor"/>
    </font>
    <font>
      <i/>
      <sz val="11"/>
      <color theme="1"/>
      <name val="Calibri"/>
      <family val="2"/>
      <scheme val="minor"/>
    </font>
    <font>
      <b/>
      <sz val="9"/>
      <color theme="1"/>
      <name val="Calibri"/>
      <family val="2"/>
      <scheme val="minor"/>
    </font>
    <font>
      <b/>
      <sz val="22"/>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sz val="11"/>
      <name val="Calibri"/>
      <family val="2"/>
      <scheme val="minor"/>
    </font>
    <font>
      <b/>
      <sz val="11"/>
      <name val="Calibri"/>
      <family val="2"/>
      <scheme val="minor"/>
    </font>
    <font>
      <sz val="12"/>
      <color theme="1"/>
      <name val="Times New Roman"/>
      <family val="1"/>
    </font>
    <font>
      <sz val="11"/>
      <color theme="0"/>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u/>
      <sz val="10"/>
      <color indexed="12"/>
      <name val="Arial"/>
      <family val="2"/>
    </font>
    <font>
      <b/>
      <sz val="18"/>
      <color theme="3"/>
      <name val="Cambria"/>
      <family val="2"/>
      <scheme val="major"/>
    </font>
    <font>
      <sz val="11"/>
      <color rgb="FF9C6500"/>
      <name val="Calibri"/>
      <family val="2"/>
      <scheme val="minor"/>
    </font>
    <font>
      <b/>
      <sz val="22"/>
      <name val="Calibri"/>
      <family val="2"/>
      <scheme val="minor"/>
    </font>
    <font>
      <b/>
      <sz val="12"/>
      <name val="Calibri"/>
      <family val="2"/>
      <scheme val="minor"/>
    </font>
    <font>
      <sz val="10"/>
      <name val="Calibri"/>
      <family val="2"/>
      <scheme val="minor"/>
    </font>
    <font>
      <b/>
      <sz val="14"/>
      <color theme="1"/>
      <name val="Calibri"/>
      <family val="2"/>
      <scheme val="minor"/>
    </font>
    <font>
      <sz val="12"/>
      <name val="Calibri"/>
      <family val="2"/>
      <scheme val="minor"/>
    </font>
    <font>
      <u/>
      <sz val="11"/>
      <color theme="10"/>
      <name val="Calibri"/>
      <family val="2"/>
      <scheme val="minor"/>
    </font>
    <font>
      <sz val="12"/>
      <color theme="1"/>
      <name val="Calibri"/>
      <family val="2"/>
      <scheme val="minor"/>
    </font>
    <font>
      <sz val="8"/>
      <name val="Calibri"/>
      <family val="2"/>
      <scheme val="minor"/>
    </font>
  </fonts>
  <fills count="3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auto="1"/>
      </right>
      <top/>
      <bottom/>
      <diagonal/>
    </border>
    <border>
      <left style="thin">
        <color indexed="64"/>
      </left>
      <right style="medium">
        <color indexed="64"/>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medium">
        <color auto="1"/>
      </bottom>
      <diagonal/>
    </border>
    <border>
      <left style="thin">
        <color indexed="64"/>
      </left>
      <right/>
      <top/>
      <bottom style="medium">
        <color indexed="64"/>
      </bottom>
      <diagonal/>
    </border>
    <border>
      <left style="thin">
        <color theme="0" tint="-0.499984740745262"/>
      </left>
      <right style="thin">
        <color theme="0" tint="-0.499984740745262"/>
      </right>
      <top/>
      <bottom style="thin">
        <color theme="0" tint="-0.499984740745262"/>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0">
    <xf numFmtId="0" fontId="0" fillId="0" borderId="0"/>
    <xf numFmtId="9" fontId="8" fillId="0" borderId="0" applyFont="0" applyFill="0" applyBorder="0" applyAlignment="0" applyProtection="0"/>
    <xf numFmtId="43" fontId="8" fillId="0" borderId="0" applyFont="0" applyFill="0" applyBorder="0" applyAlignment="0" applyProtection="0"/>
    <xf numFmtId="0" fontId="4" fillId="0" borderId="0" applyNumberFormat="0" applyFill="0" applyAlignment="0" applyProtection="0"/>
    <xf numFmtId="0" fontId="30" fillId="0" borderId="0" applyNumberFormat="0" applyFill="0" applyAlignment="0" applyProtection="0"/>
    <xf numFmtId="0" fontId="10" fillId="0" borderId="0"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10" borderId="36" applyNumberFormat="0" applyAlignment="0" applyProtection="0"/>
    <xf numFmtId="0" fontId="17" fillId="11" borderId="37" applyNumberFormat="0" applyAlignment="0" applyProtection="0"/>
    <xf numFmtId="0" fontId="18" fillId="11" borderId="36" applyNumberFormat="0" applyAlignment="0" applyProtection="0"/>
    <xf numFmtId="0" fontId="19" fillId="0" borderId="38" applyNumberFormat="0" applyFill="0" applyAlignment="0" applyProtection="0"/>
    <xf numFmtId="0" fontId="20" fillId="12" borderId="39"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 fillId="0" borderId="41" applyNumberFormat="0" applyFill="0" applyAlignment="0" applyProtection="0"/>
    <xf numFmtId="0" fontId="1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23" fillId="0" borderId="0"/>
    <xf numFmtId="0" fontId="24" fillId="0" borderId="0" applyNumberFormat="0" applyFill="0" applyBorder="0" applyAlignment="0" applyProtection="0">
      <alignment vertical="top"/>
      <protection locked="0"/>
    </xf>
    <xf numFmtId="9" fontId="23" fillId="0" borderId="0" applyFont="0" applyFill="0" applyBorder="0" applyAlignment="0" applyProtection="0"/>
    <xf numFmtId="44" fontId="23" fillId="0" borderId="0" applyFont="0" applyFill="0" applyBorder="0" applyAlignment="0" applyProtection="0"/>
    <xf numFmtId="0" fontId="23"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25" fillId="0" borderId="0" applyNumberFormat="0" applyFill="0" applyBorder="0" applyAlignment="0" applyProtection="0"/>
    <xf numFmtId="0" fontId="26" fillId="9"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3" borderId="0" applyNumberFormat="0" applyBorder="0" applyAlignment="0" applyProtection="0"/>
    <xf numFmtId="0" fontId="12" fillId="37" borderId="0" applyNumberFormat="0" applyBorder="0" applyAlignment="0" applyProtection="0"/>
    <xf numFmtId="0" fontId="23" fillId="0" borderId="0"/>
    <xf numFmtId="44" fontId="23" fillId="0" borderId="0" applyFont="0" applyFill="0" applyBorder="0" applyAlignment="0" applyProtection="0"/>
    <xf numFmtId="0" fontId="8" fillId="0" borderId="0"/>
    <xf numFmtId="0" fontId="8" fillId="13" borderId="40" applyNumberFormat="0" applyFont="0" applyAlignment="0" applyProtection="0"/>
    <xf numFmtId="43" fontId="23" fillId="0" borderId="0" applyFont="0" applyFill="0" applyBorder="0" applyAlignment="0" applyProtection="0"/>
    <xf numFmtId="9" fontId="23" fillId="0" borderId="0" applyFont="0" applyFill="0" applyBorder="0" applyAlignment="0" applyProtection="0"/>
    <xf numFmtId="0" fontId="23" fillId="0" borderId="0"/>
    <xf numFmtId="43" fontId="23" fillId="0" borderId="0" applyFont="0" applyFill="0" applyBorder="0" applyAlignment="0" applyProtection="0"/>
    <xf numFmtId="0" fontId="32" fillId="0" borderId="0" applyNumberFormat="0" applyFill="0" applyBorder="0" applyAlignment="0" applyProtection="0"/>
  </cellStyleXfs>
  <cellXfs count="252">
    <xf numFmtId="0" fontId="0" fillId="0" borderId="0" xfId="0"/>
    <xf numFmtId="0" fontId="0" fillId="0" borderId="1" xfId="0" applyBorder="1"/>
    <xf numFmtId="0" fontId="0" fillId="0" borderId="0" xfId="0" applyFont="1"/>
    <xf numFmtId="49" fontId="0" fillId="0" borderId="0" xfId="0" applyNumberFormat="1" applyAlignment="1"/>
    <xf numFmtId="0" fontId="0" fillId="0" borderId="0" xfId="0" applyProtection="1">
      <protection locked="0"/>
    </xf>
    <xf numFmtId="0" fontId="0" fillId="3" borderId="0" xfId="0" applyFill="1" applyBorder="1" applyProtection="1">
      <protection locked="0"/>
    </xf>
    <xf numFmtId="49" fontId="1" fillId="3" borderId="0" xfId="0" applyNumberFormat="1" applyFont="1" applyFill="1" applyBorder="1" applyAlignment="1" applyProtection="1">
      <alignment vertical="center"/>
      <protection locked="0"/>
    </xf>
    <xf numFmtId="0" fontId="9" fillId="0" borderId="0" xfId="0" applyFont="1" applyAlignment="1" applyProtection="1">
      <alignment vertical="center"/>
    </xf>
    <xf numFmtId="0" fontId="0" fillId="0" borderId="27" xfId="0" applyFont="1" applyBorder="1" applyAlignment="1">
      <alignment vertical="center"/>
    </xf>
    <xf numFmtId="0" fontId="9" fillId="0" borderId="28" xfId="0" applyFont="1" applyBorder="1" applyAlignment="1">
      <alignment vertical="center"/>
    </xf>
    <xf numFmtId="0" fontId="9" fillId="0" borderId="16" xfId="0" applyFont="1" applyBorder="1" applyAlignment="1" applyProtection="1">
      <alignment horizontal="right" vertical="center"/>
    </xf>
    <xf numFmtId="164" fontId="9" fillId="0" borderId="17" xfId="0" applyNumberFormat="1" applyFont="1" applyBorder="1" applyAlignment="1" applyProtection="1">
      <alignment vertical="center"/>
    </xf>
    <xf numFmtId="164" fontId="9" fillId="0" borderId="15" xfId="0" applyNumberFormat="1" applyFont="1" applyBorder="1" applyAlignment="1" applyProtection="1">
      <alignment vertical="center"/>
    </xf>
    <xf numFmtId="0" fontId="9" fillId="0" borderId="18" xfId="0" applyFont="1" applyBorder="1" applyAlignment="1" applyProtection="1">
      <alignment horizontal="right" vertical="center"/>
    </xf>
    <xf numFmtId="164" fontId="9" fillId="4" borderId="17" xfId="0" applyNumberFormat="1" applyFont="1" applyFill="1" applyBorder="1" applyAlignment="1" applyProtection="1">
      <alignment vertical="center"/>
    </xf>
    <xf numFmtId="164" fontId="9" fillId="4" borderId="15" xfId="0" applyNumberFormat="1" applyFont="1" applyFill="1" applyBorder="1" applyAlignment="1" applyProtection="1">
      <alignment vertical="center"/>
    </xf>
    <xf numFmtId="0" fontId="9" fillId="0" borderId="19" xfId="0" applyFont="1" applyBorder="1" applyAlignment="1" applyProtection="1">
      <alignment horizontal="right" vertical="center"/>
    </xf>
    <xf numFmtId="164" fontId="9" fillId="0" borderId="21" xfId="0" applyNumberFormat="1" applyFont="1" applyBorder="1" applyAlignment="1" applyProtection="1">
      <alignment vertical="center"/>
    </xf>
    <xf numFmtId="0" fontId="9" fillId="0" borderId="0" xfId="0" applyFont="1" applyAlignment="1">
      <alignment vertical="center"/>
    </xf>
    <xf numFmtId="2" fontId="9" fillId="4" borderId="0" xfId="0" applyNumberFormat="1" applyFont="1" applyFill="1" applyAlignment="1" applyProtection="1">
      <alignment vertical="center"/>
    </xf>
    <xf numFmtId="164" fontId="9" fillId="0" borderId="25" xfId="0" applyNumberFormat="1" applyFont="1" applyBorder="1" applyAlignment="1" applyProtection="1">
      <alignment vertical="center"/>
    </xf>
    <xf numFmtId="164" fontId="9" fillId="0" borderId="26" xfId="0" applyNumberFormat="1" applyFont="1" applyBorder="1" applyAlignment="1" applyProtection="1">
      <alignment vertical="center"/>
    </xf>
    <xf numFmtId="0" fontId="9" fillId="4" borderId="0" xfId="0" applyFont="1" applyFill="1" applyAlignment="1" applyProtection="1">
      <alignment vertical="center"/>
    </xf>
    <xf numFmtId="0" fontId="0" fillId="0" borderId="0" xfId="0" applyFont="1" applyAlignment="1" applyProtection="1">
      <alignment vertical="center"/>
    </xf>
    <xf numFmtId="10" fontId="9" fillId="5" borderId="25" xfId="1" applyNumberFormat="1" applyFont="1" applyFill="1" applyBorder="1" applyAlignment="1" applyProtection="1">
      <alignment vertical="center"/>
    </xf>
    <xf numFmtId="10" fontId="9" fillId="5" borderId="26" xfId="1" applyNumberFormat="1" applyFont="1" applyFill="1" applyBorder="1" applyAlignment="1" applyProtection="1">
      <alignment vertical="center"/>
    </xf>
    <xf numFmtId="10" fontId="9" fillId="5" borderId="17" xfId="1" applyNumberFormat="1" applyFont="1" applyFill="1" applyBorder="1" applyAlignment="1" applyProtection="1">
      <alignment vertical="center"/>
    </xf>
    <xf numFmtId="10" fontId="9" fillId="5" borderId="15" xfId="1" applyNumberFormat="1" applyFont="1" applyFill="1" applyBorder="1" applyAlignment="1" applyProtection="1">
      <alignment vertical="center"/>
    </xf>
    <xf numFmtId="0" fontId="0" fillId="0" borderId="0" xfId="0" applyAlignment="1" applyProtection="1">
      <alignment vertical="center"/>
      <protection locked="0"/>
    </xf>
    <xf numFmtId="0" fontId="9" fillId="0" borderId="29" xfId="0" applyFont="1" applyBorder="1" applyAlignment="1" applyProtection="1">
      <alignment horizontal="right" vertical="center"/>
    </xf>
    <xf numFmtId="164" fontId="9" fillId="3" borderId="17" xfId="0" applyNumberFormat="1" applyFont="1" applyFill="1" applyBorder="1" applyAlignment="1" applyProtection="1">
      <alignment vertical="center"/>
    </xf>
    <xf numFmtId="164" fontId="9" fillId="3" borderId="15" xfId="0" applyNumberFormat="1" applyFont="1" applyFill="1" applyBorder="1" applyAlignment="1" applyProtection="1">
      <alignment vertical="center"/>
    </xf>
    <xf numFmtId="0" fontId="4" fillId="2" borderId="0" xfId="0" applyFont="1" applyFill="1" applyBorder="1" applyAlignment="1" applyProtection="1">
      <alignment horizontal="left" vertical="center"/>
    </xf>
    <xf numFmtId="0" fontId="0" fillId="0" borderId="0" xfId="0" applyBorder="1"/>
    <xf numFmtId="0" fontId="0" fillId="0" borderId="0" xfId="0" applyFill="1" applyBorder="1"/>
    <xf numFmtId="0" fontId="11" fillId="0" borderId="0" xfId="0" applyFont="1" applyBorder="1" applyAlignment="1">
      <alignment horizontal="left" vertical="center" indent="5"/>
    </xf>
    <xf numFmtId="0" fontId="0" fillId="0" borderId="0" xfId="0" applyBorder="1" applyProtection="1">
      <protection locked="0"/>
    </xf>
    <xf numFmtId="0" fontId="0" fillId="6" borderId="31" xfId="0" applyFill="1" applyBorder="1"/>
    <xf numFmtId="164" fontId="9" fillId="6" borderId="31" xfId="0" applyNumberFormat="1" applyFont="1" applyFill="1" applyBorder="1" applyAlignment="1" applyProtection="1">
      <alignment vertical="center"/>
    </xf>
    <xf numFmtId="164" fontId="9" fillId="6" borderId="32" xfId="0" applyNumberFormat="1" applyFont="1" applyFill="1" applyBorder="1" applyAlignment="1" applyProtection="1">
      <alignment vertical="center"/>
    </xf>
    <xf numFmtId="164" fontId="9" fillId="4" borderId="33" xfId="0" applyNumberFormat="1" applyFont="1" applyFill="1" applyBorder="1" applyAlignment="1" applyProtection="1">
      <alignment vertical="center"/>
    </xf>
    <xf numFmtId="0" fontId="9" fillId="0" borderId="0" xfId="0" applyFont="1" applyBorder="1" applyAlignment="1" applyProtection="1">
      <alignment vertical="center"/>
    </xf>
    <xf numFmtId="0" fontId="1" fillId="2" borderId="1" xfId="0" applyFont="1" applyFill="1" applyBorder="1" applyAlignment="1" applyProtection="1">
      <alignment horizontal="left" vertical="center"/>
    </xf>
    <xf numFmtId="164" fontId="0" fillId="0" borderId="1" xfId="0" applyNumberFormat="1" applyBorder="1" applyAlignment="1">
      <alignment horizontal="right" vertical="center" wrapText="1"/>
    </xf>
    <xf numFmtId="8"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49" fontId="0" fillId="0" borderId="6" xfId="0" applyNumberFormat="1" applyBorder="1" applyAlignment="1">
      <alignment horizontal="left" vertical="center" wrapText="1"/>
    </xf>
    <xf numFmtId="49" fontId="0" fillId="0" borderId="7" xfId="0" applyNumberFormat="1" applyBorder="1" applyAlignment="1">
      <alignment horizontal="left" vertical="center" wrapText="1"/>
    </xf>
    <xf numFmtId="0" fontId="1" fillId="2" borderId="3" xfId="0" applyFont="1" applyFill="1" applyBorder="1" applyAlignment="1">
      <alignment horizontal="left" vertical="center"/>
    </xf>
    <xf numFmtId="0" fontId="2" fillId="0" borderId="1" xfId="0" applyFont="1" applyBorder="1" applyAlignment="1">
      <alignment horizontal="center" vertical="center" wrapText="1"/>
    </xf>
    <xf numFmtId="8"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0" fillId="0" borderId="3" xfId="0" applyBorder="1" applyAlignment="1">
      <alignment horizont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left" vertical="center"/>
    </xf>
    <xf numFmtId="0" fontId="6" fillId="2" borderId="6" xfId="0" applyFont="1" applyFill="1" applyBorder="1" applyAlignment="1">
      <alignment horizontal="left" vertical="center"/>
    </xf>
    <xf numFmtId="49" fontId="0" fillId="0" borderId="3" xfId="0" applyNumberFormat="1" applyBorder="1" applyAlignment="1">
      <alignment horizontal="left" vertical="center"/>
    </xf>
    <xf numFmtId="1" fontId="0" fillId="0" borderId="2" xfId="0" applyNumberFormat="1" applyBorder="1" applyAlignment="1">
      <alignment horizontal="left" vertical="center"/>
    </xf>
    <xf numFmtId="0" fontId="6" fillId="2" borderId="7" xfId="0" applyFont="1" applyFill="1" applyBorder="1" applyAlignment="1">
      <alignment vertical="center"/>
    </xf>
    <xf numFmtId="0" fontId="4" fillId="2" borderId="6" xfId="0" applyFont="1" applyFill="1" applyBorder="1" applyAlignment="1" applyProtection="1">
      <alignment vertical="center"/>
    </xf>
    <xf numFmtId="0" fontId="1" fillId="2" borderId="12" xfId="0" applyFont="1" applyFill="1" applyBorder="1" applyAlignment="1" applyProtection="1">
      <alignment vertical="center"/>
    </xf>
    <xf numFmtId="0" fontId="1" fillId="2" borderId="1" xfId="0" applyFont="1" applyFill="1" applyBorder="1" applyAlignment="1" applyProtection="1">
      <alignment vertical="center"/>
    </xf>
    <xf numFmtId="49" fontId="0" fillId="0" borderId="11" xfId="0" applyNumberFormat="1" applyBorder="1" applyAlignment="1" applyProtection="1">
      <alignment vertical="center"/>
      <protection locked="0"/>
    </xf>
    <xf numFmtId="0" fontId="1" fillId="2" borderId="5" xfId="0" applyFont="1" applyFill="1" applyBorder="1" applyAlignment="1" applyProtection="1">
      <alignment vertical="center"/>
    </xf>
    <xf numFmtId="0" fontId="1" fillId="2" borderId="8" xfId="0" applyFont="1" applyFill="1" applyBorder="1" applyAlignment="1" applyProtection="1">
      <alignment vertical="center"/>
    </xf>
    <xf numFmtId="164" fontId="0" fillId="0" borderId="11"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0" fontId="1" fillId="2" borderId="8" xfId="0" applyFont="1" applyFill="1" applyBorder="1" applyAlignment="1">
      <alignment horizontal="left" vertical="center"/>
    </xf>
    <xf numFmtId="14" fontId="0" fillId="0" borderId="2" xfId="0" applyNumberFormat="1" applyBorder="1" applyAlignment="1">
      <alignment horizontal="left" vertical="center"/>
    </xf>
    <xf numFmtId="49" fontId="0" fillId="0" borderId="6" xfId="0" applyNumberFormat="1" applyBorder="1" applyAlignment="1">
      <alignment horizontal="left" vertical="center"/>
    </xf>
    <xf numFmtId="1" fontId="0" fillId="0" borderId="5" xfId="0" applyNumberFormat="1" applyBorder="1" applyAlignment="1">
      <alignment horizontal="left" vertical="center"/>
    </xf>
    <xf numFmtId="14" fontId="0" fillId="0" borderId="5" xfId="0" applyNumberFormat="1" applyBorder="1" applyAlignment="1">
      <alignment horizontal="left" vertical="center"/>
    </xf>
    <xf numFmtId="0" fontId="0" fillId="0" borderId="5" xfId="0" applyBorder="1"/>
    <xf numFmtId="0" fontId="0" fillId="0" borderId="2" xfId="0" applyBorder="1"/>
    <xf numFmtId="0" fontId="0" fillId="0" borderId="6" xfId="0" applyBorder="1" applyAlignment="1">
      <alignment horizontal="center"/>
    </xf>
    <xf numFmtId="0" fontId="0" fillId="0" borderId="11" xfId="0" applyBorder="1"/>
    <xf numFmtId="164" fontId="0" fillId="0" borderId="2" xfId="0" applyNumberFormat="1" applyBorder="1" applyAlignment="1">
      <alignment horizontal="right" vertical="center"/>
    </xf>
    <xf numFmtId="0" fontId="2" fillId="0" borderId="2" xfId="0" applyFont="1" applyBorder="1" applyAlignment="1">
      <alignment horizontal="center" vertical="center" wrapText="1"/>
    </xf>
    <xf numFmtId="8" fontId="2" fillId="0" borderId="2" xfId="0" applyNumberFormat="1" applyFont="1" applyBorder="1" applyAlignment="1">
      <alignment horizontal="center" vertical="center"/>
    </xf>
    <xf numFmtId="164" fontId="0" fillId="0" borderId="2" xfId="0" applyNumberFormat="1" applyBorder="1" applyAlignment="1">
      <alignment horizontal="right" vertical="center" wrapText="1"/>
    </xf>
    <xf numFmtId="0" fontId="1" fillId="2" borderId="9" xfId="0" applyFont="1" applyFill="1" applyBorder="1" applyAlignment="1">
      <alignment horizontal="left" vertical="center"/>
    </xf>
    <xf numFmtId="164" fontId="0" fillId="0" borderId="11" xfId="0" applyNumberFormat="1" applyBorder="1" applyAlignment="1">
      <alignment horizontal="right" vertical="center" wrapText="1"/>
    </xf>
    <xf numFmtId="164" fontId="0" fillId="0" borderId="5" xfId="0" applyNumberFormat="1" applyBorder="1" applyAlignment="1">
      <alignment horizontal="right" vertical="center" wrapText="1"/>
    </xf>
    <xf numFmtId="0" fontId="0" fillId="0" borderId="34" xfId="0" applyFont="1" applyBorder="1" applyAlignment="1">
      <alignment vertical="center"/>
    </xf>
    <xf numFmtId="164" fontId="9" fillId="0" borderId="35" xfId="0" applyNumberFormat="1" applyFont="1" applyBorder="1" applyAlignment="1" applyProtection="1">
      <alignment vertical="center"/>
    </xf>
    <xf numFmtId="164" fontId="9" fillId="4" borderId="0" xfId="0" applyNumberFormat="1" applyFont="1" applyFill="1" applyBorder="1" applyAlignment="1" applyProtection="1">
      <alignment vertical="center"/>
    </xf>
    <xf numFmtId="164" fontId="9" fillId="0" borderId="13" xfId="0" applyNumberFormat="1" applyFont="1" applyBorder="1" applyAlignment="1" applyProtection="1">
      <alignment vertical="center"/>
    </xf>
    <xf numFmtId="164" fontId="9" fillId="0" borderId="0" xfId="0" applyNumberFormat="1" applyFont="1" applyBorder="1" applyAlignment="1" applyProtection="1">
      <alignment vertical="center"/>
    </xf>
    <xf numFmtId="0" fontId="0" fillId="0" borderId="1" xfId="0" applyNumberFormat="1" applyBorder="1" applyAlignment="1" applyProtection="1">
      <alignment horizontal="right" vertical="center"/>
    </xf>
    <xf numFmtId="164" fontId="0" fillId="0" borderId="5" xfId="0" applyNumberFormat="1" applyBorder="1" applyAlignment="1" applyProtection="1">
      <alignment vertical="center"/>
      <protection locked="0"/>
    </xf>
    <xf numFmtId="164" fontId="0" fillId="0" borderId="2" xfId="0" applyNumberFormat="1" applyBorder="1" applyAlignment="1" applyProtection="1">
      <alignment vertical="center"/>
      <protection locked="0"/>
    </xf>
    <xf numFmtId="0" fontId="1" fillId="2" borderId="1" xfId="0" applyFont="1" applyFill="1" applyBorder="1" applyAlignment="1">
      <alignment horizontal="left" vertical="center"/>
    </xf>
    <xf numFmtId="0" fontId="1" fillId="2" borderId="1" xfId="0" applyFont="1" applyFill="1" applyBorder="1" applyAlignment="1">
      <alignment vertical="center"/>
    </xf>
    <xf numFmtId="0" fontId="1" fillId="2" borderId="14" xfId="0" applyFont="1" applyFill="1" applyBorder="1" applyAlignment="1">
      <alignment horizontal="center" vertical="center"/>
    </xf>
    <xf numFmtId="10" fontId="0" fillId="0" borderId="0" xfId="1" applyNumberFormat="1" applyFont="1" applyBorder="1" applyAlignment="1" applyProtection="1">
      <alignment vertical="center"/>
      <protection locked="0"/>
    </xf>
    <xf numFmtId="0" fontId="1" fillId="2" borderId="1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pplyProtection="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1" fontId="0" fillId="0" borderId="1" xfId="0" applyNumberFormat="1" applyBorder="1" applyAlignment="1">
      <alignment horizontal="right" vertical="center"/>
    </xf>
    <xf numFmtId="164" fontId="0" fillId="0" borderId="1" xfId="0" applyNumberFormat="1" applyBorder="1" applyAlignment="1">
      <alignment horizontal="right" vertical="center"/>
    </xf>
    <xf numFmtId="1" fontId="0" fillId="0" borderId="15" xfId="0" applyNumberFormat="1" applyBorder="1" applyAlignment="1">
      <alignment horizontal="right" vertical="center"/>
    </xf>
    <xf numFmtId="164" fontId="0" fillId="0" borderId="15" xfId="0" applyNumberFormat="1" applyBorder="1" applyAlignment="1">
      <alignment horizontal="right" vertical="center"/>
    </xf>
    <xf numFmtId="164" fontId="0" fillId="0" borderId="0" xfId="0" applyNumberFormat="1" applyAlignment="1">
      <alignment horizontal="right" vertical="center"/>
    </xf>
    <xf numFmtId="0" fontId="1" fillId="2" borderId="4" xfId="0" applyFont="1" applyFill="1" applyBorder="1" applyAlignment="1">
      <alignment horizontal="right" vertical="center"/>
    </xf>
    <xf numFmtId="49" fontId="0" fillId="0" borderId="1" xfId="0" applyNumberFormat="1" applyBorder="1" applyAlignment="1" applyProtection="1">
      <alignment vertical="center"/>
      <protection locked="0"/>
    </xf>
    <xf numFmtId="49" fontId="1" fillId="0" borderId="0" xfId="0" applyNumberFormat="1" applyFont="1" applyFill="1" applyBorder="1" applyAlignment="1" applyProtection="1">
      <alignment vertical="center"/>
    </xf>
    <xf numFmtId="0" fontId="27" fillId="2" borderId="23" xfId="0" applyFont="1" applyFill="1" applyBorder="1" applyAlignment="1" applyProtection="1">
      <alignment horizontal="left" vertical="center"/>
    </xf>
    <xf numFmtId="0" fontId="9" fillId="2" borderId="0" xfId="0" applyFont="1" applyFill="1" applyBorder="1" applyAlignment="1" applyProtection="1">
      <alignment horizontal="left" vertical="center"/>
      <protection locked="0"/>
    </xf>
    <xf numFmtId="0" fontId="9" fillId="2" borderId="0" xfId="0" applyFont="1" applyFill="1" applyBorder="1" applyAlignment="1" applyProtection="1">
      <alignment horizontal="right" vertical="center"/>
      <protection locked="0"/>
    </xf>
    <xf numFmtId="0" fontId="9" fillId="2" borderId="0" xfId="0" applyFont="1" applyFill="1" applyBorder="1" applyAlignment="1" applyProtection="1">
      <alignment horizontal="right"/>
      <protection locked="0"/>
    </xf>
    <xf numFmtId="0" fontId="9" fillId="2" borderId="0" xfId="0" applyFont="1" applyFill="1" applyBorder="1" applyProtection="1">
      <protection locked="0"/>
    </xf>
    <xf numFmtId="0" fontId="9" fillId="2" borderId="0" xfId="0" applyFont="1" applyFill="1" applyProtection="1">
      <protection locked="0"/>
    </xf>
    <xf numFmtId="0" fontId="9" fillId="0" borderId="0" xfId="0" applyFont="1" applyProtection="1">
      <protection locked="0"/>
    </xf>
    <xf numFmtId="0" fontId="9" fillId="0" borderId="0" xfId="0" applyFont="1" applyAlignment="1" applyProtection="1">
      <alignment vertical="center"/>
      <protection locked="0"/>
    </xf>
    <xf numFmtId="0" fontId="9" fillId="0" borderId="0" xfId="0" applyFont="1" applyBorder="1" applyProtection="1">
      <protection locked="0"/>
    </xf>
    <xf numFmtId="0" fontId="9" fillId="0" borderId="0" xfId="0" applyFont="1" applyBorder="1" applyAlignment="1">
      <alignment vertical="center"/>
    </xf>
    <xf numFmtId="0" fontId="9" fillId="0" borderId="0" xfId="0" applyFont="1" applyBorder="1" applyAlignment="1" applyProtection="1">
      <alignment vertical="center"/>
      <protection locked="0"/>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horizontal="right" vertical="center"/>
    </xf>
    <xf numFmtId="0" fontId="9" fillId="0" borderId="0" xfId="0" applyFont="1" applyFill="1" applyBorder="1" applyAlignment="1" applyProtection="1">
      <alignment horizontal="righ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right" vertical="center" wrapText="1"/>
    </xf>
    <xf numFmtId="164" fontId="9" fillId="0" borderId="0" xfId="0" applyNumberFormat="1" applyFont="1" applyFill="1" applyBorder="1" applyAlignment="1" applyProtection="1">
      <alignment horizontal="right" vertical="center"/>
      <protection locked="0"/>
    </xf>
    <xf numFmtId="0" fontId="9" fillId="0" borderId="0" xfId="0" applyFont="1" applyFill="1" applyBorder="1" applyProtection="1">
      <protection locked="0"/>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right" vertical="center" wrapText="1"/>
    </xf>
    <xf numFmtId="164" fontId="9" fillId="0" borderId="0" xfId="0" applyNumberFormat="1" applyFont="1" applyFill="1" applyBorder="1" applyAlignment="1" applyProtection="1">
      <alignment horizontal="right" vertical="center"/>
    </xf>
    <xf numFmtId="165" fontId="9" fillId="0" borderId="0"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right"/>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horizontal="right"/>
      <protection locked="0"/>
    </xf>
    <xf numFmtId="0" fontId="10" fillId="0" borderId="0" xfId="0" applyFont="1" applyFill="1" applyProtection="1">
      <protection locked="0"/>
    </xf>
    <xf numFmtId="0" fontId="4" fillId="2" borderId="0" xfId="3" applyFill="1" applyAlignment="1" applyProtection="1">
      <alignment horizontal="left" vertical="center"/>
    </xf>
    <xf numFmtId="0" fontId="28" fillId="0" borderId="29"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9" fillId="0" borderId="0" xfId="0" applyFont="1" applyFill="1" applyProtection="1">
      <protection locked="0"/>
    </xf>
    <xf numFmtId="0" fontId="9" fillId="0" borderId="0" xfId="0" applyFont="1" applyFill="1" applyAlignment="1" applyProtection="1">
      <alignment vertical="center"/>
    </xf>
    <xf numFmtId="0" fontId="9" fillId="0" borderId="0" xfId="0" applyFont="1" applyFill="1" applyAlignment="1" applyProtection="1">
      <alignment vertical="center"/>
      <protection locked="0"/>
    </xf>
    <xf numFmtId="0" fontId="9" fillId="0" borderId="0" xfId="0" applyFont="1" applyFill="1" applyBorder="1" applyAlignment="1" applyProtection="1">
      <alignment vertical="center"/>
    </xf>
    <xf numFmtId="0" fontId="28" fillId="0" borderId="0" xfId="0" applyFont="1" applyFill="1" applyBorder="1" applyAlignment="1" applyProtection="1">
      <alignment horizontal="left" vertical="center"/>
    </xf>
    <xf numFmtId="164" fontId="31" fillId="3" borderId="0" xfId="0" applyNumberFormat="1" applyFont="1" applyFill="1" applyBorder="1" applyAlignment="1" applyProtection="1">
      <alignment vertical="center"/>
    </xf>
    <xf numFmtId="0" fontId="10" fillId="0" borderId="0" xfId="0" applyFont="1" applyBorder="1" applyAlignment="1" applyProtection="1">
      <alignment vertical="center"/>
    </xf>
    <xf numFmtId="0" fontId="28" fillId="2" borderId="1" xfId="0" applyFont="1" applyFill="1" applyBorder="1" applyAlignment="1" applyProtection="1">
      <alignment horizontal="left" vertical="center"/>
    </xf>
    <xf numFmtId="49" fontId="31" fillId="0" borderId="1" xfId="0" applyNumberFormat="1" applyFont="1" applyBorder="1" applyAlignment="1" applyProtection="1">
      <alignment horizontal="left" vertical="center"/>
      <protection locked="0"/>
    </xf>
    <xf numFmtId="0" fontId="31" fillId="6" borderId="1" xfId="0" applyNumberFormat="1" applyFont="1" applyFill="1" applyBorder="1" applyAlignment="1" applyProtection="1">
      <alignment horizontal="left" vertical="center"/>
      <protection locked="0"/>
    </xf>
    <xf numFmtId="0" fontId="28" fillId="2" borderId="1" xfId="0" applyFont="1" applyFill="1" applyBorder="1" applyAlignment="1" applyProtection="1">
      <alignment horizontal="left" vertical="top" wrapText="1"/>
    </xf>
    <xf numFmtId="0" fontId="30" fillId="0" borderId="0" xfId="4" applyBorder="1" applyAlignment="1">
      <alignment vertical="center"/>
    </xf>
    <xf numFmtId="0" fontId="1" fillId="2" borderId="0" xfId="0" applyFont="1" applyFill="1" applyBorder="1" applyAlignment="1" applyProtection="1">
      <alignment vertical="center"/>
    </xf>
    <xf numFmtId="0" fontId="30" fillId="0" borderId="0" xfId="4" applyBorder="1"/>
    <xf numFmtId="0" fontId="0" fillId="0" borderId="0" xfId="0" applyAlignment="1"/>
    <xf numFmtId="0" fontId="32" fillId="0" borderId="0" xfId="59"/>
    <xf numFmtId="164" fontId="9" fillId="3" borderId="44" xfId="0" applyNumberFormat="1" applyFont="1" applyFill="1" applyBorder="1" applyAlignment="1" applyProtection="1">
      <alignment vertical="center"/>
    </xf>
    <xf numFmtId="164" fontId="9" fillId="0" borderId="45" xfId="0" applyNumberFormat="1" applyFont="1" applyBorder="1" applyAlignment="1" applyProtection="1">
      <alignment vertical="center"/>
    </xf>
    <xf numFmtId="164" fontId="9" fillId="0" borderId="42" xfId="0" applyNumberFormat="1" applyFont="1" applyBorder="1" applyAlignment="1" applyProtection="1">
      <alignment vertical="center"/>
    </xf>
    <xf numFmtId="0" fontId="9" fillId="0" borderId="43" xfId="0" applyFont="1" applyBorder="1" applyAlignment="1" applyProtection="1">
      <alignment vertical="center"/>
    </xf>
    <xf numFmtId="0" fontId="0" fillId="0" borderId="30" xfId="0" applyBorder="1" applyAlignment="1" applyProtection="1">
      <alignment vertical="center"/>
      <protection locked="0"/>
    </xf>
    <xf numFmtId="0" fontId="0" fillId="0" borderId="22" xfId="0" applyBorder="1" applyAlignment="1" applyProtection="1">
      <alignment vertical="center"/>
      <protection locked="0"/>
    </xf>
    <xf numFmtId="164" fontId="9" fillId="0" borderId="24" xfId="0" applyNumberFormat="1" applyFont="1" applyBorder="1" applyAlignment="1" applyProtection="1">
      <alignment vertical="center"/>
    </xf>
    <xf numFmtId="0" fontId="33" fillId="0" borderId="0" xfId="0" applyFont="1" applyProtection="1">
      <protection locked="0"/>
    </xf>
    <xf numFmtId="0" fontId="4" fillId="2" borderId="0" xfId="0" applyFont="1" applyFill="1" applyBorder="1" applyAlignment="1" applyProtection="1">
      <alignment vertical="center"/>
    </xf>
    <xf numFmtId="0" fontId="4" fillId="2" borderId="0" xfId="3" applyFill="1" applyAlignment="1">
      <alignment vertical="center"/>
    </xf>
    <xf numFmtId="0" fontId="6" fillId="2" borderId="0" xfId="0" applyFont="1" applyFill="1" applyBorder="1" applyAlignment="1">
      <alignment vertical="center"/>
    </xf>
    <xf numFmtId="0" fontId="4" fillId="2" borderId="0" xfId="3"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0" fillId="0" borderId="9" xfId="0" applyBorder="1" applyAlignment="1">
      <alignment horizontal="center"/>
    </xf>
    <xf numFmtId="0" fontId="30" fillId="2" borderId="6" xfId="4" applyFill="1" applyBorder="1" applyAlignment="1">
      <alignment horizontal="left" vertical="center"/>
    </xf>
    <xf numFmtId="0" fontId="1" fillId="2" borderId="1" xfId="0" applyFont="1" applyFill="1" applyBorder="1" applyAlignment="1">
      <alignment horizontal="right" vertical="center"/>
    </xf>
    <xf numFmtId="0" fontId="33" fillId="0" borderId="0" xfId="0" applyFont="1" applyBorder="1" applyProtection="1">
      <protection locked="0"/>
    </xf>
    <xf numFmtId="0" fontId="33" fillId="0" borderId="0" xfId="0" applyFont="1" applyBorder="1" applyAlignment="1" applyProtection="1">
      <alignment horizontal="left" vertical="top"/>
      <protection locked="0"/>
    </xf>
    <xf numFmtId="49" fontId="0" fillId="6" borderId="1" xfId="0" applyNumberFormat="1" applyFill="1" applyBorder="1"/>
    <xf numFmtId="49" fontId="0" fillId="6" borderId="1" xfId="0" applyNumberFormat="1" applyFill="1" applyBorder="1" applyAlignment="1">
      <alignment horizontal="right"/>
    </xf>
    <xf numFmtId="0" fontId="0" fillId="3" borderId="1" xfId="0" applyFont="1" applyFill="1" applyBorder="1" applyAlignment="1" applyProtection="1">
      <alignment horizontal="left" vertical="center"/>
      <protection locked="0"/>
    </xf>
    <xf numFmtId="0" fontId="1" fillId="2" borderId="6"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5" xfId="0" applyFont="1" applyFill="1" applyBorder="1" applyAlignment="1">
      <alignment vertical="center"/>
    </xf>
    <xf numFmtId="164" fontId="0" fillId="0" borderId="11" xfId="0" applyNumberFormat="1" applyBorder="1" applyAlignment="1">
      <alignment vertical="center"/>
    </xf>
    <xf numFmtId="0" fontId="0" fillId="0" borderId="11" xfId="0" applyNumberFormat="1" applyBorder="1" applyAlignment="1">
      <alignment vertical="center"/>
    </xf>
    <xf numFmtId="10" fontId="0" fillId="0" borderId="11" xfId="0" applyNumberFormat="1" applyBorder="1" applyAlignment="1">
      <alignment vertical="center"/>
    </xf>
    <xf numFmtId="0" fontId="1" fillId="2" borderId="2" xfId="0" applyFont="1" applyFill="1" applyBorder="1" applyAlignment="1">
      <alignment vertical="center"/>
    </xf>
    <xf numFmtId="164" fontId="0" fillId="0" borderId="1" xfId="0" applyNumberFormat="1" applyBorder="1" applyAlignment="1">
      <alignment vertical="center"/>
    </xf>
    <xf numFmtId="49" fontId="1" fillId="2" borderId="5" xfId="0" applyNumberFormat="1" applyFont="1" applyFill="1" applyBorder="1" applyAlignment="1"/>
    <xf numFmtId="14" fontId="0" fillId="0" borderId="11" xfId="0" applyNumberFormat="1" applyBorder="1" applyAlignment="1"/>
    <xf numFmtId="164" fontId="0" fillId="0" borderId="11" xfId="0" applyNumberFormat="1" applyBorder="1" applyAlignment="1"/>
    <xf numFmtId="10" fontId="0" fillId="0" borderId="11" xfId="1" applyNumberFormat="1" applyFont="1" applyBorder="1" applyAlignment="1"/>
    <xf numFmtId="166" fontId="0" fillId="0" borderId="11" xfId="2" applyNumberFormat="1" applyFont="1" applyBorder="1" applyAlignment="1"/>
    <xf numFmtId="0" fontId="0" fillId="0" borderId="11" xfId="0" applyNumberFormat="1" applyBorder="1" applyAlignment="1"/>
    <xf numFmtId="49" fontId="1" fillId="2" borderId="2" xfId="0" applyNumberFormat="1" applyFont="1" applyFill="1" applyBorder="1" applyAlignment="1"/>
    <xf numFmtId="164" fontId="0" fillId="0" borderId="1" xfId="0" applyNumberFormat="1" applyBorder="1" applyAlignment="1"/>
    <xf numFmtId="0" fontId="33" fillId="0" borderId="0" xfId="0" applyFont="1"/>
    <xf numFmtId="0" fontId="9" fillId="0" borderId="0" xfId="0" applyFont="1" applyBorder="1" applyAlignment="1" applyProtection="1">
      <alignment horizontal="left" vertical="center" wrapText="1"/>
    </xf>
    <xf numFmtId="0" fontId="30" fillId="0" borderId="0" xfId="4" applyBorder="1" applyProtection="1">
      <protection locked="0"/>
    </xf>
    <xf numFmtId="0" fontId="10" fillId="0" borderId="0" xfId="5" applyAlignment="1" applyProtection="1">
      <alignment vertical="center"/>
    </xf>
    <xf numFmtId="0" fontId="0" fillId="0" borderId="27" xfId="0" applyFont="1" applyBorder="1" applyAlignment="1">
      <alignment horizontal="right" vertical="center"/>
    </xf>
    <xf numFmtId="0" fontId="0" fillId="0" borderId="20" xfId="0" applyFont="1" applyBorder="1" applyAlignment="1">
      <alignment vertical="center"/>
    </xf>
    <xf numFmtId="0" fontId="9" fillId="0" borderId="48" xfId="0" applyFont="1" applyBorder="1" applyAlignment="1">
      <alignment vertical="center"/>
    </xf>
    <xf numFmtId="0" fontId="0" fillId="0" borderId="19" xfId="0" applyFont="1" applyBorder="1" applyAlignment="1" applyProtection="1">
      <alignment horizontal="left" vertical="center"/>
    </xf>
    <xf numFmtId="0" fontId="0" fillId="0" borderId="47" xfId="0" applyFont="1" applyBorder="1" applyAlignment="1" applyProtection="1">
      <alignment horizontal="right" vertical="center"/>
    </xf>
    <xf numFmtId="0" fontId="0" fillId="0" borderId="46" xfId="0" applyFont="1" applyBorder="1" applyAlignment="1">
      <alignment vertical="center"/>
    </xf>
    <xf numFmtId="0" fontId="10" fillId="0" borderId="0" xfId="5" applyBorder="1" applyAlignment="1">
      <alignment vertical="center"/>
    </xf>
    <xf numFmtId="0" fontId="0" fillId="0" borderId="0" xfId="0" applyBorder="1" applyAlignment="1" applyProtection="1">
      <alignment vertical="center"/>
      <protection locked="0"/>
    </xf>
    <xf numFmtId="0" fontId="0" fillId="0" borderId="0" xfId="0" applyFont="1" applyBorder="1" applyAlignment="1">
      <alignment vertical="center"/>
    </xf>
    <xf numFmtId="0" fontId="0" fillId="0" borderId="22" xfId="0" applyFont="1" applyBorder="1" applyAlignment="1" applyProtection="1">
      <alignment horizontal="right" vertical="center"/>
    </xf>
    <xf numFmtId="0" fontId="0" fillId="0" borderId="49" xfId="0" applyFont="1" applyBorder="1" applyAlignment="1">
      <alignment vertical="center"/>
    </xf>
    <xf numFmtId="0" fontId="9" fillId="0" borderId="24" xfId="0" applyFont="1" applyBorder="1" applyAlignment="1" applyProtection="1">
      <alignment horizontal="right" vertical="center"/>
    </xf>
    <xf numFmtId="0" fontId="9" fillId="0" borderId="44" xfId="0" applyFont="1" applyBorder="1" applyAlignment="1" applyProtection="1">
      <alignment horizontal="right" vertical="center"/>
    </xf>
    <xf numFmtId="0" fontId="0" fillId="0" borderId="43" xfId="0" applyFont="1" applyBorder="1" applyAlignment="1" applyProtection="1">
      <alignment horizontal="left" vertical="center"/>
    </xf>
    <xf numFmtId="10" fontId="9" fillId="5" borderId="0" xfId="1" applyNumberFormat="1" applyFont="1" applyFill="1" applyBorder="1" applyAlignment="1" applyProtection="1">
      <alignment vertical="center"/>
    </xf>
    <xf numFmtId="164" fontId="9" fillId="4" borderId="50" xfId="0" applyNumberFormat="1" applyFont="1" applyFill="1" applyBorder="1" applyAlignment="1" applyProtection="1">
      <alignment vertical="center"/>
    </xf>
    <xf numFmtId="164" fontId="9" fillId="6" borderId="51" xfId="0" applyNumberFormat="1" applyFont="1" applyFill="1" applyBorder="1" applyAlignment="1" applyProtection="1">
      <alignment vertical="center"/>
    </xf>
    <xf numFmtId="164" fontId="9" fillId="6" borderId="52" xfId="0" applyNumberFormat="1" applyFont="1" applyFill="1" applyBorder="1" applyAlignment="1" applyProtection="1">
      <alignment vertical="center"/>
    </xf>
    <xf numFmtId="10" fontId="9" fillId="5" borderId="52" xfId="1" applyNumberFormat="1" applyFont="1" applyFill="1" applyBorder="1" applyAlignment="1" applyProtection="1">
      <alignment vertical="center"/>
    </xf>
    <xf numFmtId="49" fontId="1" fillId="2" borderId="27" xfId="0" applyNumberFormat="1" applyFont="1" applyFill="1" applyBorder="1" applyAlignment="1" applyProtection="1">
      <alignment horizontal="left" vertical="center"/>
    </xf>
    <xf numFmtId="49" fontId="1" fillId="2" borderId="53" xfId="0" applyNumberFormat="1" applyFont="1" applyFill="1" applyBorder="1" applyAlignment="1" applyProtection="1">
      <alignment horizontal="left" vertical="center" wrapText="1"/>
    </xf>
    <xf numFmtId="49" fontId="1" fillId="2" borderId="53" xfId="0" applyNumberFormat="1" applyFont="1" applyFill="1" applyBorder="1" applyAlignment="1" applyProtection="1">
      <alignment horizontal="left" vertical="center"/>
    </xf>
    <xf numFmtId="49" fontId="1" fillId="2" borderId="46" xfId="0" applyNumberFormat="1" applyFont="1" applyFill="1" applyBorder="1" applyAlignment="1" applyProtection="1">
      <alignment horizontal="left" vertical="center"/>
    </xf>
    <xf numFmtId="0" fontId="9" fillId="0" borderId="0" xfId="0" applyFont="1" applyBorder="1" applyAlignment="1" applyProtection="1">
      <alignment horizontal="right" vertical="center"/>
      <protection locked="0"/>
    </xf>
    <xf numFmtId="49" fontId="1" fillId="2" borderId="54" xfId="0" applyNumberFormat="1" applyFont="1" applyFill="1" applyBorder="1" applyAlignment="1" applyProtection="1">
      <alignment horizontal="left" vertical="center"/>
    </xf>
    <xf numFmtId="49" fontId="1" fillId="2" borderId="55" xfId="0" applyNumberFormat="1" applyFont="1" applyFill="1" applyBorder="1" applyAlignment="1" applyProtection="1">
      <alignment horizontal="left" vertical="center" wrapText="1"/>
    </xf>
    <xf numFmtId="49" fontId="1" fillId="2" borderId="55" xfId="0" applyNumberFormat="1" applyFont="1" applyFill="1" applyBorder="1" applyAlignment="1" applyProtection="1">
      <alignment horizontal="left" vertical="center"/>
    </xf>
    <xf numFmtId="49" fontId="1" fillId="2" borderId="56" xfId="0" applyNumberFormat="1" applyFont="1" applyFill="1" applyBorder="1" applyAlignment="1" applyProtection="1">
      <alignment horizontal="left" vertical="center"/>
    </xf>
    <xf numFmtId="0" fontId="0" fillId="6" borderId="52" xfId="0" applyFill="1" applyBorder="1"/>
    <xf numFmtId="0" fontId="1" fillId="2" borderId="47" xfId="0" applyFont="1" applyFill="1" applyBorder="1" applyAlignment="1" applyProtection="1">
      <alignment horizontal="left" vertical="top" wrapText="1"/>
    </xf>
    <xf numFmtId="0" fontId="1" fillId="2" borderId="54" xfId="0" applyFont="1" applyFill="1" applyBorder="1" applyAlignment="1" applyProtection="1">
      <alignment horizontal="left" vertical="top" wrapText="1"/>
    </xf>
    <xf numFmtId="0" fontId="1" fillId="2" borderId="55" xfId="0" applyFont="1" applyFill="1" applyBorder="1" applyAlignment="1" applyProtection="1">
      <alignment horizontal="left" vertical="top" wrapText="1"/>
    </xf>
    <xf numFmtId="0" fontId="1" fillId="2" borderId="56" xfId="0" applyFont="1" applyFill="1" applyBorder="1" applyAlignment="1" applyProtection="1">
      <alignment horizontal="left" vertical="top" wrapText="1"/>
    </xf>
    <xf numFmtId="0" fontId="1" fillId="2" borderId="34" xfId="0" applyFont="1" applyFill="1" applyBorder="1" applyAlignment="1" applyProtection="1">
      <alignment horizontal="left" vertical="top" wrapText="1"/>
    </xf>
    <xf numFmtId="0" fontId="1" fillId="2" borderId="28" xfId="0" applyFont="1" applyFill="1" applyBorder="1" applyAlignment="1" applyProtection="1">
      <alignment horizontal="left" vertical="top" wrapText="1"/>
    </xf>
    <xf numFmtId="49" fontId="1" fillId="2" borderId="27" xfId="0" applyNumberFormat="1" applyFont="1" applyFill="1" applyBorder="1" applyAlignment="1" applyProtection="1">
      <alignment horizontal="left"/>
    </xf>
    <xf numFmtId="49" fontId="1" fillId="2" borderId="53" xfId="0" applyNumberFormat="1" applyFont="1" applyFill="1" applyBorder="1" applyAlignment="1" applyProtection="1">
      <alignment horizontal="left" wrapText="1"/>
    </xf>
    <xf numFmtId="49" fontId="1" fillId="2" borderId="53" xfId="0" applyNumberFormat="1" applyFont="1" applyFill="1" applyBorder="1" applyAlignment="1" applyProtection="1">
      <alignment horizontal="left"/>
    </xf>
    <xf numFmtId="49" fontId="1" fillId="2" borderId="46" xfId="0" applyNumberFormat="1" applyFont="1" applyFill="1" applyBorder="1" applyAlignment="1" applyProtection="1">
      <alignment horizontal="left"/>
    </xf>
    <xf numFmtId="0" fontId="1" fillId="2" borderId="54" xfId="0" applyFont="1" applyFill="1" applyBorder="1" applyAlignment="1">
      <alignment horizontal="left" wrapText="1"/>
    </xf>
    <xf numFmtId="0" fontId="1" fillId="2" borderId="55" xfId="0" applyFont="1" applyFill="1" applyBorder="1" applyAlignment="1">
      <alignment horizontal="left" wrapText="1"/>
    </xf>
    <xf numFmtId="0" fontId="1" fillId="2" borderId="56" xfId="0" applyFont="1" applyFill="1" applyBorder="1" applyAlignment="1">
      <alignment horizontal="left" wrapText="1"/>
    </xf>
    <xf numFmtId="0" fontId="0" fillId="0" borderId="54" xfId="0" applyFont="1" applyBorder="1" applyAlignment="1">
      <alignment horizontal="left" wrapText="1"/>
    </xf>
    <xf numFmtId="0" fontId="0" fillId="0" borderId="55" xfId="0" applyFont="1" applyBorder="1" applyAlignment="1">
      <alignment horizontal="left" wrapText="1"/>
    </xf>
    <xf numFmtId="0" fontId="0" fillId="0" borderId="56" xfId="0" applyFont="1" applyBorder="1" applyAlignment="1">
      <alignment horizontal="left" wrapText="1"/>
    </xf>
    <xf numFmtId="0" fontId="0" fillId="0" borderId="0" xfId="0" applyFont="1" applyBorder="1" applyAlignment="1" applyProtection="1">
      <protection locked="0"/>
    </xf>
    <xf numFmtId="10" fontId="10" fillId="4" borderId="0" xfId="1" applyNumberFormat="1" applyFont="1" applyFill="1" applyBorder="1" applyAlignment="1" applyProtection="1">
      <alignment vertical="center"/>
    </xf>
    <xf numFmtId="164" fontId="9" fillId="0" borderId="20" xfId="0" applyNumberFormat="1" applyFont="1" applyBorder="1" applyAlignment="1" applyProtection="1">
      <alignment vertical="center"/>
    </xf>
    <xf numFmtId="10" fontId="0" fillId="0" borderId="5" xfId="1" applyNumberFormat="1" applyFont="1" applyFill="1" applyBorder="1" applyProtection="1">
      <protection locked="0"/>
    </xf>
    <xf numFmtId="49" fontId="1" fillId="2" borderId="54" xfId="0" applyNumberFormat="1" applyFont="1" applyFill="1" applyBorder="1" applyAlignment="1" applyProtection="1">
      <alignment horizontal="left" vertical="top" wrapText="1"/>
    </xf>
    <xf numFmtId="49" fontId="1" fillId="2" borderId="55" xfId="0" applyNumberFormat="1" applyFont="1" applyFill="1" applyBorder="1" applyAlignment="1" applyProtection="1">
      <alignment horizontal="left" vertical="top" wrapText="1"/>
    </xf>
    <xf numFmtId="49" fontId="1" fillId="2" borderId="56" xfId="0" applyNumberFormat="1" applyFont="1" applyFill="1" applyBorder="1" applyAlignment="1" applyProtection="1">
      <alignment horizontal="left" vertical="top" wrapText="1"/>
    </xf>
  </cellXfs>
  <cellStyles count="60">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45" xr:uid="{B8BE6E12-6887-47B8-9128-B5852D66A80B}"/>
    <cellStyle name="60% - Accent2 2" xfId="46" xr:uid="{EC956A6A-D2C6-4B50-AB8C-619E39611007}"/>
    <cellStyle name="60% - Accent3 2" xfId="47" xr:uid="{4A6B2247-E4C6-4DFC-997A-66324A4AF72A}"/>
    <cellStyle name="60% - Accent4 2" xfId="48" xr:uid="{C71B243E-4201-4C11-BDC7-747DF6B503C3}"/>
    <cellStyle name="60% - Accent5 2" xfId="49" xr:uid="{7F4EFE76-4C4F-42D5-9AAB-B6CBEB0356D4}"/>
    <cellStyle name="60% - Accent6 2" xfId="50" xr:uid="{06FF9984-B3A9-4CE8-8CB7-43A8DFF7428B}"/>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8" builtinId="27" customBuiltin="1"/>
    <cellStyle name="Calculation" xfId="11" builtinId="22" customBuiltin="1"/>
    <cellStyle name="Check Cell" xfId="13" builtinId="23" customBuiltin="1"/>
    <cellStyle name="Comma" xfId="2" builtinId="3"/>
    <cellStyle name="Comma 2" xfId="55" xr:uid="{E8F2E9E9-FA63-4B0E-87AA-DA384AAC1CB2}"/>
    <cellStyle name="Comma 3" xfId="41" xr:uid="{CEBC972B-1170-4F3B-B5B2-85D18CB8CD2A}"/>
    <cellStyle name="Comma 4" xfId="58" xr:uid="{E1592B3D-A7E7-4F42-966F-2D05D1E6DB94}"/>
    <cellStyle name="Currency 2" xfId="52" xr:uid="{7F2336AC-AEC6-44BB-9843-6AB4C7A83555}"/>
    <cellStyle name="Currency 3" xfId="38" xr:uid="{C0CA56D2-FCC9-425D-B8BE-4CA1EACC0F15}"/>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59" builtinId="8"/>
    <cellStyle name="Hyperlink 2" xfId="36" xr:uid="{DF76F4B9-5705-41BE-BBB1-BB2A73800F2A}"/>
    <cellStyle name="Input" xfId="9" builtinId="20" customBuiltin="1"/>
    <cellStyle name="Linked Cell" xfId="12" builtinId="24" customBuiltin="1"/>
    <cellStyle name="Neutral 2" xfId="44" xr:uid="{B61B3FED-A60A-4BC6-B79A-A6A28E3C5544}"/>
    <cellStyle name="Normal" xfId="0" builtinId="0"/>
    <cellStyle name="Normal 2" xfId="39" xr:uid="{45F7E9FA-2816-4A61-B04D-9F1AA081D81E}"/>
    <cellStyle name="Normal 2 2" xfId="53" xr:uid="{74C91730-0942-4164-8EA3-08DC1AA40291}"/>
    <cellStyle name="Normal 3" xfId="51" xr:uid="{6E024C20-0FC3-435F-BF79-41F821128B61}"/>
    <cellStyle name="Normal 3 2" xfId="57" xr:uid="{40934944-6FE2-4A55-8DE8-E1997CF10638}"/>
    <cellStyle name="Normal 4" xfId="40" xr:uid="{F72E2698-4362-4807-A2F4-1AF90DCAFAC8}"/>
    <cellStyle name="Normal 5" xfId="35" xr:uid="{AACB53D9-7162-46C4-91B6-C26B2D7FD89E}"/>
    <cellStyle name="Note 2" xfId="54" xr:uid="{9084BD4C-097A-402D-8E38-E76493DBDFBE}"/>
    <cellStyle name="Output" xfId="10" builtinId="21" customBuiltin="1"/>
    <cellStyle name="Percent" xfId="1" builtinId="5"/>
    <cellStyle name="Percent 2" xfId="56" xr:uid="{C55701F7-9B62-432F-AB49-95100F132537}"/>
    <cellStyle name="Percent 3" xfId="42" xr:uid="{D4EAE29E-89BE-4B09-9B5B-49E5D2C50CB7}"/>
    <cellStyle name="Percent 4" xfId="37" xr:uid="{65D109B4-4063-42E7-B322-87513D394733}"/>
    <cellStyle name="Title 2" xfId="43" xr:uid="{DD2E3F6F-7132-478E-AE82-C0A69DA3B185}"/>
    <cellStyle name="Total" xfId="16" builtinId="25" customBuiltin="1"/>
    <cellStyle name="Warning Text" xfId="14" builtinId="11" customBuiltin="1"/>
  </cellStyles>
  <dxfs count="193">
    <dxf>
      <numFmt numFmtId="164" formatCode="&quot;$&quot;#,##0.00"/>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center" textRotation="0" wrapText="1"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bottom/>
      </border>
    </dxf>
    <dxf>
      <numFmt numFmtId="19" formatCode="m/d/yyyy"/>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numFmt numFmtId="1" formatCode="0"/>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numFmt numFmtId="30" formatCode="@"/>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numFmt numFmtId="164" formatCode="&quot;$&quot;#,##0.00"/>
      <alignment horizontal="right" vertical="center" textRotation="0" wrapText="0"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right" vertical="center" textRotation="0" wrapText="0" indent="0" justifyLastLine="0" shrinkToFit="0" readingOrder="0"/>
      <border diagonalUp="0" diagonalDown="0" outline="0">
        <left style="thin">
          <color indexed="64"/>
        </left>
        <right style="thin">
          <color indexed="64"/>
        </right>
        <top/>
        <bottom/>
      </border>
    </dxf>
    <dxf>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outline="0">
        <left style="thin">
          <color indexed="64"/>
        </left>
        <right/>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outline="0">
        <top style="medium">
          <color indexed="64"/>
        </top>
      </border>
    </dxf>
    <dxf>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1" hidden="0"/>
    </dxf>
    <dxf>
      <numFmt numFmtId="14" formatCode="0.00%"/>
      <fill>
        <patternFill patternType="none">
          <fgColor indexed="64"/>
          <bgColor auto="1"/>
        </patternFill>
      </fill>
      <border diagonalUp="0" diagonalDown="0" outline="0">
        <left style="thin">
          <color indexed="64"/>
        </left>
        <right/>
        <top style="thin">
          <color indexed="64"/>
        </top>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64" formatCode="&quot;$&quot;#,##0.00"/>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64" formatCode="&quot;$&quot;#,##0.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00"/>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righ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righ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style="medium">
          <color indexed="64"/>
        </left>
        <right style="medium">
          <color indexed="64"/>
        </right>
        <top/>
        <bottom/>
        <vertical/>
        <horizontal/>
      </border>
      <protection locked="1" hidden="0"/>
    </dxf>
    <dxf>
      <border outline="0">
        <right style="medium">
          <color indexed="64"/>
        </right>
      </border>
    </dxf>
    <dxf>
      <border>
        <bottom style="medium">
          <color auto="1"/>
        </bottom>
      </border>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style="medium">
          <color indexed="64"/>
        </left>
        <right style="medium">
          <color indexed="64"/>
        </right>
        <top/>
        <bottom/>
        <vertical/>
        <horizontal/>
      </border>
      <protection locked="1" hidden="0"/>
    </dxf>
    <dxf>
      <border outline="0">
        <right style="medium">
          <color indexed="64"/>
        </right>
        <bottom style="medium">
          <color indexed="64"/>
        </bottom>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outline="0">
        <top style="medium">
          <color indexed="64"/>
        </top>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2022560C-F1B9-432F-9BB5-097F52DA626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WPPA/ACTUARY/HEALTH/Community%20Rating/2017/zzz%20-%202016%20Forms/FOR%20PLANS%20Small%20HMO%20Form%20v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rols"/>
      <sheetName val="data"/>
      <sheetName val="Current CR Payment1"/>
      <sheetName val="CR Payment Adjustment1"/>
      <sheetName val="Current CR Payment2"/>
      <sheetName val="CR Payment Adjustment2"/>
      <sheetName val="Current CR Payment3"/>
      <sheetName val="CR Payment Adjustment3"/>
    </sheetNames>
    <sheetDataSet>
      <sheetData sheetId="0" refreshError="1"/>
      <sheetData sheetId="1">
        <row r="1">
          <cell r="B1">
            <v>1</v>
          </cell>
        </row>
      </sheetData>
      <sheetData sheetId="2">
        <row r="3">
          <cell r="A3">
            <v>1</v>
          </cell>
          <cell r="B3">
            <v>2016</v>
          </cell>
          <cell r="C3" t="str">
            <v>Aetna HealthFund</v>
          </cell>
          <cell r="D3">
            <v>224</v>
          </cell>
          <cell r="E3" t="str">
            <v>N61</v>
          </cell>
          <cell r="F3">
            <v>0</v>
          </cell>
          <cell r="G3" t="str">
            <v>HDHP</v>
          </cell>
          <cell r="H3" t="str">
            <v>CDHP</v>
          </cell>
          <cell r="I3">
            <v>0</v>
          </cell>
          <cell r="J3">
            <v>22</v>
          </cell>
          <cell r="K3" t="str">
            <v>N6</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0</v>
          </cell>
          <cell r="BO3">
            <v>0</v>
          </cell>
          <cell r="BP3" t="str">
            <v>C</v>
          </cell>
          <cell r="BQ3">
            <v>0</v>
          </cell>
          <cell r="BR3">
            <v>0</v>
          </cell>
          <cell r="BS3">
            <v>0</v>
          </cell>
          <cell r="BT3">
            <v>0</v>
          </cell>
          <cell r="BU3">
            <v>0</v>
          </cell>
          <cell r="BV3">
            <v>0</v>
          </cell>
          <cell r="BW3">
            <v>0</v>
          </cell>
          <cell r="BX3">
            <v>0</v>
          </cell>
          <cell r="BY3">
            <v>0</v>
          </cell>
          <cell r="BZ3">
            <v>0</v>
          </cell>
          <cell r="CA3">
            <v>0</v>
          </cell>
          <cell r="CB3">
            <v>0</v>
          </cell>
          <cell r="CC3">
            <v>0</v>
          </cell>
          <cell r="CD3">
            <v>0</v>
          </cell>
          <cell r="CE3">
            <v>0</v>
          </cell>
          <cell r="CF3">
            <v>0</v>
          </cell>
          <cell r="CG3">
            <v>0</v>
          </cell>
          <cell r="CH3">
            <v>0</v>
          </cell>
          <cell r="CI3">
            <v>0</v>
          </cell>
          <cell r="CJ3">
            <v>0</v>
          </cell>
          <cell r="CK3">
            <v>0</v>
          </cell>
          <cell r="CL3">
            <v>0</v>
          </cell>
          <cell r="CM3">
            <v>0</v>
          </cell>
          <cell r="CN3">
            <v>0</v>
          </cell>
          <cell r="CO3">
            <v>0</v>
          </cell>
          <cell r="CP3">
            <v>4</v>
          </cell>
          <cell r="CQ3">
            <v>1</v>
          </cell>
          <cell r="CR3">
            <v>0</v>
          </cell>
          <cell r="CS3" t="str">
            <v>L</v>
          </cell>
          <cell r="CT3" t="str">
            <v>L</v>
          </cell>
          <cell r="CU3">
            <v>0</v>
          </cell>
          <cell r="CV3">
            <v>0</v>
          </cell>
          <cell r="CW3">
            <v>0</v>
          </cell>
          <cell r="CX3">
            <v>0</v>
          </cell>
          <cell r="CY3">
            <v>0</v>
          </cell>
          <cell r="CZ3">
            <v>7.35</v>
          </cell>
          <cell r="DA3">
            <v>16.21</v>
          </cell>
          <cell r="DB3">
            <v>0</v>
          </cell>
          <cell r="DC3">
            <v>0</v>
          </cell>
          <cell r="DD3">
            <v>0</v>
          </cell>
          <cell r="DE3">
            <v>0</v>
          </cell>
          <cell r="DF3">
            <v>0</v>
          </cell>
          <cell r="DG3">
            <v>0</v>
          </cell>
          <cell r="DH3">
            <v>0</v>
          </cell>
          <cell r="DI3">
            <v>1</v>
          </cell>
          <cell r="DJ3">
            <v>2016</v>
          </cell>
          <cell r="DK3" t="str">
            <v>Aetna HealthFund</v>
          </cell>
          <cell r="DL3" t="str">
            <v>HDHP</v>
          </cell>
          <cell r="DM3" t="str">
            <v>CDHP</v>
          </cell>
          <cell r="DN3">
            <v>0</v>
          </cell>
          <cell r="DO3">
            <v>22</v>
          </cell>
          <cell r="DP3" t="str">
            <v>N6</v>
          </cell>
          <cell r="DQ3">
            <v>0</v>
          </cell>
          <cell r="DR3">
            <v>0</v>
          </cell>
          <cell r="DS3">
            <v>0</v>
          </cell>
          <cell r="DT3">
            <v>0</v>
          </cell>
          <cell r="DU3">
            <v>0</v>
          </cell>
          <cell r="DV3">
            <v>0</v>
          </cell>
          <cell r="DW3">
            <v>230.91</v>
          </cell>
          <cell r="DX3">
            <v>509.36</v>
          </cell>
          <cell r="DY3">
            <v>0</v>
          </cell>
          <cell r="DZ3">
            <v>0</v>
          </cell>
          <cell r="EA3">
            <v>0</v>
          </cell>
          <cell r="EB3">
            <v>0</v>
          </cell>
          <cell r="EC3">
            <v>0</v>
          </cell>
          <cell r="ED3">
            <v>0</v>
          </cell>
          <cell r="EE3">
            <v>0</v>
          </cell>
          <cell r="EF3">
            <v>0</v>
          </cell>
          <cell r="EG3">
            <v>0</v>
          </cell>
          <cell r="EH3">
            <v>0</v>
          </cell>
          <cell r="EI3">
            <v>0</v>
          </cell>
          <cell r="EJ3">
            <v>0</v>
          </cell>
          <cell r="EK3">
            <v>0</v>
          </cell>
          <cell r="EL3">
            <v>0</v>
          </cell>
          <cell r="EM3">
            <v>0</v>
          </cell>
          <cell r="EN3">
            <v>0</v>
          </cell>
          <cell r="EO3">
            <v>0</v>
          </cell>
          <cell r="EP3">
            <v>0</v>
          </cell>
          <cell r="EQ3">
            <v>0</v>
          </cell>
          <cell r="ER3">
            <v>0</v>
          </cell>
          <cell r="ES3">
            <v>0</v>
          </cell>
          <cell r="ET3">
            <v>0</v>
          </cell>
          <cell r="EU3">
            <v>0</v>
          </cell>
          <cell r="EV3">
            <v>0</v>
          </cell>
          <cell r="EW3">
            <v>0</v>
          </cell>
          <cell r="EX3">
            <v>0</v>
          </cell>
          <cell r="EY3">
            <v>0</v>
          </cell>
          <cell r="EZ3">
            <v>0</v>
          </cell>
          <cell r="FA3">
            <v>0</v>
          </cell>
          <cell r="FB3">
            <v>0</v>
          </cell>
          <cell r="FC3">
            <v>0</v>
          </cell>
          <cell r="FD3">
            <v>0</v>
          </cell>
          <cell r="FE3">
            <v>0</v>
          </cell>
          <cell r="FF3">
            <v>0</v>
          </cell>
          <cell r="FG3">
            <v>0</v>
          </cell>
          <cell r="FH3">
            <v>0</v>
          </cell>
          <cell r="FI3">
            <v>0</v>
          </cell>
          <cell r="FJ3">
            <v>0</v>
          </cell>
          <cell r="FK3">
            <v>0</v>
          </cell>
          <cell r="FL3">
            <v>0</v>
          </cell>
          <cell r="FM3">
            <v>0</v>
          </cell>
          <cell r="FN3">
            <v>0</v>
          </cell>
          <cell r="FO3">
            <v>0</v>
          </cell>
          <cell r="FP3">
            <v>0</v>
          </cell>
          <cell r="FQ3">
            <v>0</v>
          </cell>
          <cell r="FR3">
            <v>0</v>
          </cell>
          <cell r="FS3">
            <v>0</v>
          </cell>
          <cell r="FT3">
            <v>0</v>
          </cell>
          <cell r="FU3">
            <v>0</v>
          </cell>
          <cell r="FV3">
            <v>0</v>
          </cell>
          <cell r="FW3">
            <v>0</v>
          </cell>
          <cell r="FX3">
            <v>0</v>
          </cell>
          <cell r="FY3">
            <v>0</v>
          </cell>
          <cell r="FZ3">
            <v>0</v>
          </cell>
          <cell r="GA3">
            <v>0</v>
          </cell>
          <cell r="GB3">
            <v>210.05</v>
          </cell>
          <cell r="GC3">
            <v>529.74</v>
          </cell>
          <cell r="GD3">
            <v>0</v>
          </cell>
          <cell r="GE3">
            <v>0</v>
          </cell>
          <cell r="GF3">
            <v>0</v>
          </cell>
          <cell r="GG3">
            <v>0</v>
          </cell>
          <cell r="GH3">
            <v>0</v>
          </cell>
          <cell r="GI3">
            <v>0</v>
          </cell>
          <cell r="GJ3">
            <v>0</v>
          </cell>
          <cell r="GK3">
            <v>0</v>
          </cell>
          <cell r="GL3">
            <v>0</v>
          </cell>
          <cell r="GM3">
            <v>0</v>
          </cell>
          <cell r="GN3">
            <v>0</v>
          </cell>
          <cell r="GO3">
            <v>0</v>
          </cell>
          <cell r="GP3">
            <v>0</v>
          </cell>
          <cell r="GQ3">
            <v>0</v>
          </cell>
          <cell r="GR3">
            <v>0</v>
          </cell>
          <cell r="GS3">
            <v>0</v>
          </cell>
          <cell r="GT3">
            <v>0</v>
          </cell>
          <cell r="GU3">
            <v>0</v>
          </cell>
          <cell r="GV3">
            <v>0</v>
          </cell>
          <cell r="GW3">
            <v>0</v>
          </cell>
          <cell r="GX3">
            <v>0</v>
          </cell>
          <cell r="GY3">
            <v>0</v>
          </cell>
          <cell r="GZ3">
            <v>0</v>
          </cell>
          <cell r="HA3">
            <v>0</v>
          </cell>
          <cell r="HB3">
            <v>0</v>
          </cell>
          <cell r="HC3">
            <v>0</v>
          </cell>
          <cell r="HD3">
            <v>0</v>
          </cell>
          <cell r="HE3">
            <v>0</v>
          </cell>
          <cell r="HF3">
            <v>0</v>
          </cell>
          <cell r="HG3">
            <v>0</v>
          </cell>
          <cell r="HH3">
            <v>0</v>
          </cell>
          <cell r="HI3">
            <v>0</v>
          </cell>
          <cell r="HJ3">
            <v>0</v>
          </cell>
          <cell r="HK3">
            <v>0</v>
          </cell>
          <cell r="HL3">
            <v>0</v>
          </cell>
          <cell r="HM3">
            <v>0</v>
          </cell>
          <cell r="HN3">
            <v>0</v>
          </cell>
          <cell r="HO3">
            <v>0</v>
          </cell>
          <cell r="HP3">
            <v>0</v>
          </cell>
          <cell r="HQ3">
            <v>0</v>
          </cell>
          <cell r="HR3">
            <v>0</v>
          </cell>
          <cell r="HS3">
            <v>0</v>
          </cell>
          <cell r="HT3">
            <v>0</v>
          </cell>
          <cell r="HU3">
            <v>0</v>
          </cell>
          <cell r="HV3">
            <v>0</v>
          </cell>
          <cell r="HW3">
            <v>0</v>
          </cell>
          <cell r="HX3">
            <v>0</v>
          </cell>
          <cell r="HY3">
            <v>0</v>
          </cell>
          <cell r="HZ3">
            <v>0</v>
          </cell>
          <cell r="IA3">
            <v>0</v>
          </cell>
          <cell r="IB3">
            <v>0</v>
          </cell>
          <cell r="IC3">
            <v>0</v>
          </cell>
          <cell r="ID3">
            <v>0</v>
          </cell>
          <cell r="IE3">
            <v>0</v>
          </cell>
          <cell r="IF3">
            <v>0</v>
          </cell>
          <cell r="IG3">
            <v>0</v>
          </cell>
          <cell r="IH3">
            <v>0</v>
          </cell>
          <cell r="II3">
            <v>0</v>
          </cell>
          <cell r="IJ3">
            <v>0</v>
          </cell>
          <cell r="IK3">
            <v>0</v>
          </cell>
          <cell r="IL3">
            <v>0</v>
          </cell>
          <cell r="IM3">
            <v>0</v>
          </cell>
          <cell r="IN3">
            <v>0</v>
          </cell>
          <cell r="IO3">
            <v>0</v>
          </cell>
          <cell r="IP3">
            <v>0</v>
          </cell>
          <cell r="IQ3">
            <v>0</v>
          </cell>
          <cell r="IR3">
            <v>0</v>
          </cell>
          <cell r="IS3">
            <v>0</v>
          </cell>
          <cell r="IT3">
            <v>0</v>
          </cell>
          <cell r="IU3">
            <v>0</v>
          </cell>
          <cell r="IV3">
            <v>0</v>
          </cell>
          <cell r="IW3">
            <v>0</v>
          </cell>
          <cell r="IX3">
            <v>0</v>
          </cell>
          <cell r="IY3">
            <v>0</v>
          </cell>
          <cell r="IZ3">
            <v>0</v>
          </cell>
          <cell r="JA3">
            <v>0</v>
          </cell>
          <cell r="JB3">
            <v>0</v>
          </cell>
          <cell r="JC3">
            <v>0</v>
          </cell>
          <cell r="JD3">
            <v>0</v>
          </cell>
          <cell r="JE3">
            <v>0</v>
          </cell>
          <cell r="JF3">
            <v>0</v>
          </cell>
          <cell r="JG3">
            <v>0</v>
          </cell>
          <cell r="JH3">
            <v>0</v>
          </cell>
          <cell r="JI3">
            <v>0</v>
          </cell>
          <cell r="JJ3">
            <v>0</v>
          </cell>
          <cell r="JK3">
            <v>0</v>
          </cell>
          <cell r="JL3">
            <v>0</v>
          </cell>
          <cell r="JM3">
            <v>0</v>
          </cell>
          <cell r="JN3">
            <v>0</v>
          </cell>
          <cell r="JO3">
            <v>0</v>
          </cell>
          <cell r="JP3">
            <v>0</v>
          </cell>
          <cell r="JQ3">
            <v>0</v>
          </cell>
          <cell r="JR3">
            <v>0</v>
          </cell>
          <cell r="JS3">
            <v>0</v>
          </cell>
          <cell r="JT3">
            <v>0</v>
          </cell>
          <cell r="JU3">
            <v>0</v>
          </cell>
          <cell r="JV3">
            <v>0</v>
          </cell>
          <cell r="JW3">
            <v>0</v>
          </cell>
          <cell r="JX3">
            <v>0</v>
          </cell>
          <cell r="JY3">
            <v>0</v>
          </cell>
          <cell r="JZ3">
            <v>0</v>
          </cell>
          <cell r="KA3">
            <v>0</v>
          </cell>
          <cell r="KB3">
            <v>0</v>
          </cell>
          <cell r="KC3">
            <v>0</v>
          </cell>
          <cell r="KD3">
            <v>0</v>
          </cell>
          <cell r="KE3">
            <v>0</v>
          </cell>
          <cell r="KF3">
            <v>0</v>
          </cell>
          <cell r="KG3">
            <v>0</v>
          </cell>
          <cell r="KH3">
            <v>0</v>
          </cell>
          <cell r="KI3">
            <v>0</v>
          </cell>
          <cell r="KJ3">
            <v>0</v>
          </cell>
          <cell r="KK3">
            <v>0</v>
          </cell>
          <cell r="KL3">
            <v>0</v>
          </cell>
          <cell r="KM3">
            <v>0</v>
          </cell>
          <cell r="KN3">
            <v>0</v>
          </cell>
          <cell r="KO3">
            <v>1</v>
          </cell>
          <cell r="KP3">
            <v>2016</v>
          </cell>
          <cell r="KQ3" t="str">
            <v>Aetna HealthFund</v>
          </cell>
          <cell r="KR3" t="str">
            <v>HDHP</v>
          </cell>
          <cell r="KS3" t="str">
            <v>CDHP</v>
          </cell>
          <cell r="KT3">
            <v>0</v>
          </cell>
          <cell r="KU3">
            <v>22</v>
          </cell>
          <cell r="KV3" t="str">
            <v>N6</v>
          </cell>
          <cell r="KW3">
            <v>0</v>
          </cell>
          <cell r="KX3">
            <v>224</v>
          </cell>
          <cell r="KY3" t="str">
            <v>N61</v>
          </cell>
          <cell r="KZ3">
            <v>0</v>
          </cell>
          <cell r="LA3">
            <v>0</v>
          </cell>
          <cell r="LB3">
            <v>0</v>
          </cell>
          <cell r="LC3">
            <v>0</v>
          </cell>
          <cell r="LD3">
            <v>0</v>
          </cell>
          <cell r="LE3">
            <v>0</v>
          </cell>
          <cell r="LF3">
            <v>0</v>
          </cell>
          <cell r="LG3">
            <v>10495861</v>
          </cell>
          <cell r="LH3">
            <v>0</v>
          </cell>
          <cell r="LI3">
            <v>0</v>
          </cell>
          <cell r="LJ3">
            <v>0</v>
          </cell>
          <cell r="LK3">
            <v>0</v>
          </cell>
          <cell r="LL3">
            <v>0</v>
          </cell>
          <cell r="LM3">
            <v>0</v>
          </cell>
          <cell r="LN3">
            <v>0</v>
          </cell>
          <cell r="LO3">
            <v>0</v>
          </cell>
          <cell r="LP3">
            <v>0</v>
          </cell>
          <cell r="LQ3">
            <v>0</v>
          </cell>
          <cell r="LR3">
            <v>0</v>
          </cell>
          <cell r="LS3">
            <v>0</v>
          </cell>
          <cell r="LT3">
            <v>0</v>
          </cell>
          <cell r="LU3">
            <v>0</v>
          </cell>
          <cell r="LV3">
            <v>0</v>
          </cell>
          <cell r="LW3">
            <v>0</v>
          </cell>
          <cell r="LX3">
            <v>0</v>
          </cell>
          <cell r="LY3">
            <v>0</v>
          </cell>
          <cell r="LZ3">
            <v>0</v>
          </cell>
          <cell r="MA3">
            <v>0</v>
          </cell>
          <cell r="MB3">
            <v>0</v>
          </cell>
          <cell r="MC3">
            <v>0</v>
          </cell>
          <cell r="MD3">
            <v>0</v>
          </cell>
          <cell r="ME3">
            <v>0</v>
          </cell>
          <cell r="MF3">
            <v>0</v>
          </cell>
          <cell r="MG3">
            <v>0</v>
          </cell>
          <cell r="MH3">
            <v>0</v>
          </cell>
          <cell r="MI3">
            <v>0</v>
          </cell>
          <cell r="MJ3">
            <v>0</v>
          </cell>
          <cell r="MK3">
            <v>0</v>
          </cell>
          <cell r="ML3">
            <v>0</v>
          </cell>
          <cell r="MM3">
            <v>0</v>
          </cell>
          <cell r="MN3">
            <v>0</v>
          </cell>
          <cell r="MO3">
            <v>0</v>
          </cell>
          <cell r="MP3">
            <v>0</v>
          </cell>
          <cell r="MQ3">
            <v>0</v>
          </cell>
          <cell r="MR3">
            <v>1</v>
          </cell>
          <cell r="MS3">
            <v>2016</v>
          </cell>
          <cell r="MT3" t="str">
            <v>Aetna HealthFund</v>
          </cell>
          <cell r="MU3">
            <v>224</v>
          </cell>
          <cell r="MV3" t="str">
            <v>N61</v>
          </cell>
          <cell r="MW3">
            <v>0</v>
          </cell>
          <cell r="MX3" t="str">
            <v>HDHP</v>
          </cell>
          <cell r="MY3" t="str">
            <v>CDHP</v>
          </cell>
          <cell r="MZ3">
            <v>0</v>
          </cell>
          <cell r="NA3">
            <v>22</v>
          </cell>
          <cell r="NB3" t="str">
            <v>N6</v>
          </cell>
          <cell r="NC3">
            <v>0</v>
          </cell>
          <cell r="ND3">
            <v>0</v>
          </cell>
          <cell r="NE3">
            <v>0</v>
          </cell>
          <cell r="NF3">
            <v>0</v>
          </cell>
          <cell r="NG3">
            <v>0</v>
          </cell>
          <cell r="NH3">
            <v>0</v>
          </cell>
          <cell r="NI3">
            <v>0</v>
          </cell>
          <cell r="NJ3">
            <v>0</v>
          </cell>
          <cell r="NK3">
            <v>0</v>
          </cell>
          <cell r="NL3">
            <v>0</v>
          </cell>
          <cell r="NM3">
            <v>0</v>
          </cell>
          <cell r="NN3">
            <v>0</v>
          </cell>
          <cell r="NO3">
            <v>0</v>
          </cell>
          <cell r="NP3">
            <v>0</v>
          </cell>
          <cell r="NQ3">
            <v>0</v>
          </cell>
          <cell r="NR3">
            <v>0</v>
          </cell>
          <cell r="NS3">
            <v>0</v>
          </cell>
          <cell r="NT3">
            <v>0</v>
          </cell>
          <cell r="NU3">
            <v>0</v>
          </cell>
          <cell r="NV3">
            <v>0</v>
          </cell>
          <cell r="NW3">
            <v>0</v>
          </cell>
          <cell r="NX3">
            <v>0</v>
          </cell>
          <cell r="NY3">
            <v>15.89</v>
          </cell>
          <cell r="NZ3">
            <v>0</v>
          </cell>
          <cell r="OA3">
            <v>0</v>
          </cell>
          <cell r="OB3">
            <v>0</v>
          </cell>
          <cell r="OC3">
            <v>499.37</v>
          </cell>
          <cell r="OD3">
            <v>0</v>
          </cell>
          <cell r="OE3">
            <v>0</v>
          </cell>
          <cell r="OF3">
            <v>0</v>
          </cell>
          <cell r="OG3">
            <v>0</v>
          </cell>
          <cell r="OH3">
            <v>0</v>
          </cell>
          <cell r="OI3">
            <v>0</v>
          </cell>
          <cell r="OJ3">
            <v>0</v>
          </cell>
          <cell r="OK3">
            <v>0</v>
          </cell>
          <cell r="OL3">
            <v>0</v>
          </cell>
          <cell r="OM3">
            <v>0</v>
          </cell>
          <cell r="ON3">
            <v>0</v>
          </cell>
          <cell r="OO3">
            <v>0</v>
          </cell>
          <cell r="OP3">
            <v>0</v>
          </cell>
          <cell r="OQ3">
            <v>0</v>
          </cell>
          <cell r="OR3">
            <v>0</v>
          </cell>
          <cell r="OS3">
            <v>460.65</v>
          </cell>
          <cell r="OT3">
            <v>0</v>
          </cell>
          <cell r="OU3">
            <v>0</v>
          </cell>
          <cell r="OV3">
            <v>0</v>
          </cell>
          <cell r="OW3">
            <v>0</v>
          </cell>
          <cell r="OX3">
            <v>0</v>
          </cell>
          <cell r="OY3">
            <v>0</v>
          </cell>
          <cell r="OZ3">
            <v>0</v>
          </cell>
          <cell r="PA3">
            <v>0</v>
          </cell>
          <cell r="PB3">
            <v>0</v>
          </cell>
          <cell r="PC3">
            <v>0</v>
          </cell>
          <cell r="PD3">
            <v>0</v>
          </cell>
          <cell r="PE3">
            <v>0</v>
          </cell>
          <cell r="PF3">
            <v>0</v>
          </cell>
          <cell r="PG3">
            <v>0</v>
          </cell>
          <cell r="PH3">
            <v>0</v>
          </cell>
          <cell r="PI3">
            <v>0</v>
          </cell>
          <cell r="PJ3">
            <v>0</v>
          </cell>
          <cell r="PK3">
            <v>0</v>
          </cell>
          <cell r="PL3">
            <v>0</v>
          </cell>
          <cell r="PM3">
            <v>0</v>
          </cell>
          <cell r="PN3">
            <v>0</v>
          </cell>
          <cell r="PO3">
            <v>0</v>
          </cell>
          <cell r="PP3">
            <v>0</v>
          </cell>
          <cell r="PQ3">
            <v>0</v>
          </cell>
          <cell r="PR3">
            <v>0</v>
          </cell>
          <cell r="PS3">
            <v>0</v>
          </cell>
          <cell r="PT3">
            <v>0</v>
          </cell>
          <cell r="PU3">
            <v>0</v>
          </cell>
          <cell r="PV3">
            <v>0</v>
          </cell>
          <cell r="PW3">
            <v>0</v>
          </cell>
        </row>
      </sheetData>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AF3801F-42E2-4C09-8AF6-799D0F079DDE}" name="Att1SmallCarriers" displayName="Att1SmallCarriers" ref="A18:AQ181" totalsRowShown="0" headerRowDxfId="192" dataDxfId="191" dataCellStyle="Percent">
  <autoFilter ref="A18:AQ181" xr:uid="{9AF3801F-42E2-4C09-8AF6-799D0F079D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autoFilter>
  <tableColumns count="43">
    <tableColumn id="1" xr3:uid="{1A631CD8-827E-476C-9038-41BE93B3A6E2}" name="Self Enrollment Code" dataDxfId="190"/>
    <tableColumn id="2" xr3:uid="{08720C60-3770-4C69-9617-308E74EA723A}" name="OPTION _x000a_(High/Standard/HDHP/_x000a_CDHP/Basic/Value)" dataDxfId="189"/>
    <tableColumn id="3" xr3:uid="{FABB8C87-EB4D-4D4A-B455-0E7E03D7562B}" name="Contract Number" dataDxfId="188"/>
    <tableColumn id="4" xr3:uid="{1EAD0C4C-74AA-44B5-83E3-277AA34AF242}" name="State/Region" dataDxfId="187"/>
    <tableColumn id="5" xr3:uid="{FE86CFA2-E4A8-4F50-84A8-C9D5A41F6B89}" name="Q2. What are the 2024 proposed Federal group rates?_x000a_Self" dataDxfId="186"/>
    <tableColumn id="6" xr3:uid="{7D3F5831-94B5-4C84-8948-C17742202832}" name="Q2. What are the 2024 proposed Federal group rates? _x000a_Self+1" dataDxfId="185"/>
    <tableColumn id="7" xr3:uid="{610F642D-0711-4991-A9DC-3488E13A2BA5}" name="Q2. What are the 2024 proposed Federal group rates? _x000a_Family" dataDxfId="184"/>
    <tableColumn id="8" xr3:uid="{7E964F25-B92B-4016-BDD3-E4CE9813BFF0}" name="Q3. Enter the adjustment to the 2024 proposed Federal group rates as a result of the reconciliation of the 2023 Federal group rates._x000a_Self" dataDxfId="183"/>
    <tableColumn id="9" xr3:uid="{23C718DC-2A18-4A92-ABD5-6BBBD122E226}" name=" Q3. Enter the adjustment to the 2024 proposed Federal group rates as a result of the reconciliation of the 2023 Federal group rates. _x000a_Self+1" dataDxfId="182"/>
    <tableColumn id="10" xr3:uid="{60A1AA08-DE93-4892-A2C1-E69F78BBFA8D}" name="Q3. Enter the adjustment to the 2024 proposed Federal group rates as a result of the reconciliation of the 2023 Federal group rates. _x000a_Family" dataDxfId="181"/>
    <tableColumn id="11" xr3:uid="{227CF613-F2CE-4D26-A336-B8FF5C9E0341}" name="Q4. What are the proposed 2024 Federal group rates after adjustments?_x000a_Self" dataDxfId="180"/>
    <tableColumn id="12" xr3:uid="{837463AB-9EBB-43B1-B294-3C958D94D712}" name="Q4. What are the proposed 2024 Federal group rates after adjustments?_x000a_Self+1" dataDxfId="179"/>
    <tableColumn id="13" xr3:uid="{8C647777-3868-4AD0-A662-A99D50214701}" name="Q4. What are the proposed 2024 Federal group rates after adjustments?_x000a_Family" dataDxfId="178"/>
    <tableColumn id="14" xr3:uid="{2367A6D1-FE6A-4194-8C8E-7C0B239CC49E}" name="2023 Net-to-Carrier Rates_x000a_Self" dataDxfId="177"/>
    <tableColumn id="15" xr3:uid="{F69BDBCD-966D-4D9D-B2D3-602685A2A3B1}" name="2023 Net-to-Carrier Rates_x000a_Self+1" dataDxfId="176"/>
    <tableColumn id="16" xr3:uid="{008FCA24-F8C9-43EA-AAAE-C979CAE64611}" name="2023 Net-to-Carrier Rates_x000a_Family" dataDxfId="175"/>
    <tableColumn id="17" xr3:uid="{DAA45A63-518C-427C-831D-6E9CCBA97E6E}" name="2023 Gross Premium (Net-to-Carrier Rates * 1.04)_x000a_Self" dataDxfId="174">
      <calculatedColumnFormula>IF(E19="","",ROUND(N19*1.04,2))</calculatedColumnFormula>
    </tableColumn>
    <tableColumn id="18" xr3:uid="{E2FCF2A9-8E86-4237-B4F9-049A9C9C62AC}" name="2023 Gross Premium (Net-to-Carrier Rates * 1.04)_x000a_Self+1" dataDxfId="173">
      <calculatedColumnFormula>IF(E19="","",ROUND(O19*1.04,2))</calculatedColumnFormula>
    </tableColumn>
    <tableColumn id="19" xr3:uid="{BD66AC6E-4DED-4FEF-B8AA-C0F0C8B35E1A}" name="2023 Gross Premium (Net-to-Carrier Rates * 1.04)_x000a_Family" dataDxfId="172">
      <calculatedColumnFormula>IF(E19="","",ROUND(P19*1.04,2))</calculatedColumnFormula>
    </tableColumn>
    <tableColumn id="41" xr3:uid="{22C3D017-1317-4E4F-9372-D30BE7A9EAB7}" name="2023 Maximum Government Contribution_x000a_Self" dataDxfId="171"/>
    <tableColumn id="42" xr3:uid="{398AE116-01BD-4952-9EAE-1F5518569CC6}" name="2023 Maximum Government Contribution_x000a_Self+1" dataDxfId="170"/>
    <tableColumn id="43" xr3:uid="{5C385823-80E4-4528-9099-14631C6673CB}" name="2023 Maximum Government Contribution_x000a_Family" dataDxfId="169"/>
    <tableColumn id="20" xr3:uid="{B25850FC-7E10-45EA-A77D-C6DB0D46DE42}" name="2023 Government Contribution_x000a_Self" dataDxfId="168">
      <calculatedColumnFormula>IF(E19="","",IF(Q19&gt;0,MIN(T19,ROUND(Q19*0.75,2)),"New Option"))</calculatedColumnFormula>
    </tableColumn>
    <tableColumn id="21" xr3:uid="{E9871880-65F7-4A48-A074-AA909C829210}" name="2023 Government Contribution_x000a_Self+1" dataDxfId="167">
      <calculatedColumnFormula>IF(E19="","",IF(R19&gt;0,MIN(Att1SmallCarriers[[#This Row],[2023 Maximum Government Contribution
Self+1]],ROUND(R19*0.75,2)),"New Option"))</calculatedColumnFormula>
    </tableColumn>
    <tableColumn id="22" xr3:uid="{F0E401F6-17C3-4DD6-A0DE-10A05947B1D7}" name="2023 Government Contribution_x000a_Family" dataDxfId="166">
      <calculatedColumnFormula>IF(E19="","",IF(S19&gt;0,MIN(Att1SmallCarriers[[#This Row],[2023 Maximum Government Contribution
Family]],ROUND(S19*0.75,2)),"New Option"))</calculatedColumnFormula>
    </tableColumn>
    <tableColumn id="23" xr3:uid="{2FCEBD53-F0AB-4625-8404-071D5EE3DF19}" name="2023 Enrollee Contribution_x000a_Self" dataDxfId="165">
      <calculatedColumnFormula>IF(E19="","",IF(Q19&gt;0, Q19-W19,"New Option"))</calculatedColumnFormula>
    </tableColumn>
    <tableColumn id="24" xr3:uid="{AE86CDB8-4F49-4F1D-B145-7A77125AD7E9}" name="2023 Enrollee Contribution_x000a_Self+1" dataDxfId="164">
      <calculatedColumnFormula>IF(E19="","",IF(R19&gt;0, R19-X19,"New Option"))</calculatedColumnFormula>
    </tableColumn>
    <tableColumn id="25" xr3:uid="{CB266CA4-FD6C-4ABF-AD86-A929BFA6F589}" name="2023 Enrollee Contribution_x000a_Family" dataDxfId="163">
      <calculatedColumnFormula>IF(E19="","",IF(S19&gt;0, S19-Y19,"New Option"))</calculatedColumnFormula>
    </tableColumn>
    <tableColumn id="26" xr3:uid="{B9B9106B-EA2D-4800-BABA-A880BDEBF049}" name="2024 Gross Premium_x000a_Self" dataDxfId="162">
      <calculatedColumnFormula>IF(E19="","",ROUND(K19*1.04,2))</calculatedColumnFormula>
    </tableColumn>
    <tableColumn id="27" xr3:uid="{30E36B88-C747-4BC5-8EDA-69CF1565FE60}" name="2024 Gross Premium_x000a_Self+1" dataDxfId="161">
      <calculatedColumnFormula>IF(E19="","",ROUND(L19*1.04,2))</calculatedColumnFormula>
    </tableColumn>
    <tableColumn id="28" xr3:uid="{44A3ED5F-EEBF-4E83-93AE-64414C4204F9}" name="2024 Gross Premium_x000a_Family" dataDxfId="160">
      <calculatedColumnFormula>IF(E19="","",ROUND(M19*1.04,2))</calculatedColumnFormula>
    </tableColumn>
    <tableColumn id="44" xr3:uid="{52929C65-1860-419C-95BD-3EFA37C0410D}" name="ESTIMATED 2024 Maximum Government Contribution_x000a_Self" dataDxfId="159">
      <calculatedColumnFormula>ROUND(Att1SmallCarriers[[#This Row],[2023 Maximum Government Contribution
Self]]*(1+$B$14),2)</calculatedColumnFormula>
    </tableColumn>
    <tableColumn id="45" xr3:uid="{EA1D6645-0E89-4C8E-AD86-F8BE91402ECF}" name="ESTIMATED 2024 Maximum Government Contribution_x000a_Self+1" dataDxfId="158">
      <calculatedColumnFormula>ROUND(Att1SmallCarriers[[#This Row],[2023 Maximum Government Contribution
Self+1]]*(1+$B$14),2)</calculatedColumnFormula>
    </tableColumn>
    <tableColumn id="46" xr3:uid="{461D07ED-9342-484E-B862-E71BE0CEE9F0}" name="ESTIMATED 2024 Maximum Government Contribution_x000a_Family" dataDxfId="157">
      <calculatedColumnFormula>ROUND(Att1SmallCarriers[[#This Row],[2023 Maximum Government Contribution
Family]]*(1+$B$14),2)</calculatedColumnFormula>
    </tableColumn>
    <tableColumn id="29" xr3:uid="{966E2A84-1453-47E0-825C-FFB44203B1DE}" name="ESTIMATED 2024 Government Contribution_x000a_Self" dataDxfId="156">
      <calculatedColumnFormula>IF(E19="","",MIN(Att1SmallCarriers[[#This Row],[ESTIMATED 2024 Maximum Government Contribution
Self]],ROUND(AC19*0.75,2)))</calculatedColumnFormula>
    </tableColumn>
    <tableColumn id="30" xr3:uid="{96C5A251-B53F-4975-9E2B-04F9FB9CDC11}" name="ESTIMATED 2024 Government Contribution_x000a_Self+1" dataDxfId="155">
      <calculatedColumnFormula>IF(E19="","",MIN(Att1SmallCarriers[[#This Row],[ESTIMATED 2024 Maximum Government Contribution
Self+1]],ROUND(AD19*0.75,2)))</calculatedColumnFormula>
    </tableColumn>
    <tableColumn id="31" xr3:uid="{B9B0ED8F-D454-4C7E-83A6-E4F3C06788DF}" name="ESTIMATED 2024 Government Contribution_x000a_Family" dataDxfId="154">
      <calculatedColumnFormula>IF(E19="","",MIN(Att1SmallCarriers[[#This Row],[ESTIMATED 2024 Maximum Government Contribution
Family]],ROUND(AE19*0.75,2)))</calculatedColumnFormula>
    </tableColumn>
    <tableColumn id="32" xr3:uid="{094C3E22-B698-4DC5-AC92-054075A25943}" name="ESTIMATED 2024 Enrollee Contribution_x000a_Self" dataDxfId="153">
      <calculatedColumnFormula>IF(E19="","",AC19-AI19)</calculatedColumnFormula>
    </tableColumn>
    <tableColumn id="33" xr3:uid="{49380A8D-B236-4E68-BDE4-D653E429053A}" name="ESTIMATED 2024 Enrollee Contribution_x000a_Self+1" dataDxfId="152">
      <calculatedColumnFormula>IF(E19="","",AD19-AJ19)</calculatedColumnFormula>
    </tableColumn>
    <tableColumn id="34" xr3:uid="{09452A82-F1B0-4E08-825F-13975D7F2532}" name="ESTIMATED 2024 Enrollee Contribution_x000a_Family" dataDxfId="151">
      <calculatedColumnFormula>IF(E19="","",AE19-AK19)</calculatedColumnFormula>
    </tableColumn>
    <tableColumn id="35" xr3:uid="{21308D14-038D-4C0E-9623-915C62FE3DE3}" name="ESTIMATED % increase in Enrollee Contribution_x000a_Self" dataDxfId="150" dataCellStyle="Percent">
      <calculatedColumnFormula>IF(E19="","",IFERROR(AL19/Z19-1,"New Option"))</calculatedColumnFormula>
    </tableColumn>
    <tableColumn id="36" xr3:uid="{2B55DC06-CB3E-47D8-823F-158644A70626}" name="ESTIMATED % increase in Enrollee Contribution_x000a_Self+1" dataDxfId="149" dataCellStyle="Percent">
      <calculatedColumnFormula>IF(E19="","",IFERROR(AM19/AA19-1,"New Option"))</calculatedColumnFormula>
    </tableColumn>
    <tableColumn id="37" xr3:uid="{5AD8A352-6CDB-441B-9134-245F5B4815DE}" name="ESTIMATED % increase in Enrollee Contribution_x000a_Family" dataDxfId="148" dataCellStyle="Percent">
      <calculatedColumnFormula>IF(E19="","",IFERROR(AN19/AB19-1,"New Option"))</calculatedColumnFormula>
    </tableColumn>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FD9C5B-470A-432D-AC15-7109D126A0BB}" name="Table2" displayName="Table2" ref="F15:G16" totalsRowShown="0" headerRowDxfId="99" headerRowBorderDxfId="98" tableBorderDxfId="97" totalsRowBorderDxfId="96">
  <autoFilter ref="F15:G16" xr:uid="{97FD9C5B-470A-432D-AC15-7109D126A0BB}">
    <filterColumn colId="0" hiddenButton="1"/>
    <filterColumn colId="1" hiddenButton="1"/>
  </autoFilter>
  <tableColumns count="2">
    <tableColumn id="1" xr3:uid="{0A5A9F1A-0D9D-4084-9347-0F45AF20A86D}" name="Description" dataDxfId="95"/>
    <tableColumn id="2" xr3:uid="{9F945D77-96B5-4406-AFF6-5D816FA817AA}" name="Percentage" dataDxfId="94" dataCellStyle="Percen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B320064-7AAA-4E6E-9C77-6B0ECD7C3B72}" name="Attach2BQuestion" displayName="Attach2BQuestion" ref="A16:AQ193" totalsRowShown="0" headerRowDxfId="93" dataDxfId="92" tableBorderDxfId="91">
  <autoFilter ref="A16:AQ193" xr:uid="{4B320064-7AAA-4E6E-9C77-6B0ECD7C3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autoFilter>
  <tableColumns count="43">
    <tableColumn id="1" xr3:uid="{7DBA514E-104F-45C8-9C81-2FF5A0662CE1}" name="Self Enrollment Code" dataDxfId="90"/>
    <tableColumn id="2" xr3:uid="{39BF5856-36D1-4D7C-B197-589E29EC2BF1}" name="OPTION _x000a_(High/Standard/HDHP/_x000a_CDHP/Basic/Value)" dataDxfId="89"/>
    <tableColumn id="3" xr3:uid="{BAE80D6F-C49A-45D0-8307-360B82C8E594}" name="Contract Number" dataDxfId="88"/>
    <tableColumn id="4" xr3:uid="{7A7D00D5-3558-4061-8920-4DD0D15D324E}" name="State or Region" dataDxfId="87"/>
    <tableColumn id="41" xr3:uid="{59655339-414A-4610-AC55-C80EEE833C74}" name="QG21a.  List the top three contributors to your increase in the 2024 rates proposed. Also provide any significant savings that are offsetting increases to 2024 rates.  Please read cell A7 before answering this questions.  " dataDxfId="86"/>
    <tableColumn id="42" xr3:uid="{09578976-B458-4B51-987A-6B735C878A90}" name="QG21b.  Please provide the numerical impact of each contributor in QG21a. " dataDxfId="85"/>
    <tableColumn id="20" xr3:uid="{CD42C54F-AC55-45DE-A28C-7960531A684F}" name="OG21c. Please provide your community trend and explain the breakdown between increased/decreased utilization and increased/decreased cost. For example, we are looking for the following, community trend = 8.0%; costs inc 6.0% and utilization inc 1.9%." dataDxfId="84"/>
    <tableColumn id="5" xr3:uid="{A41CEA2F-7EBC-4A14-88D1-CE5C75726D16}" name="QG22a.  2023 In-network Non-Medicare Actuarial Value (Please leave this question blank if you did not participate in the FEHB in 2023.)" dataDxfId="83"/>
    <tableColumn id="6" xr3:uid="{E0FEFAE4-701F-4733-B435-448811FAB824}" name="QG22b.  2024 In-network Non-Medicare Actuarial Value using the set of 2024 benefits proposed" dataDxfId="82"/>
    <tableColumn id="7" xr3:uid="{AFDE9625-4420-4907-BB3A-2D0ACBFC3C45}" name="If you were unable to use CMS' 2023 Actuarial Value Calculator, briefly describe why you were unable to use the calculator and how you developed the AV value provided:" dataDxfId="81"/>
    <tableColumn id="43" xr3:uid="{0BC50E51-FE4A-4274-A24E-8A5DFABD54D4}" name="QG22c.  Please provide the 2024  Actuarial Value of your drug benefit used to determine Creditable Coverage." dataDxfId="80"/>
    <tableColumn id="8" xr3:uid="{5CD26E2E-BF4B-4C81-8854-D7232277335F}" name="QG23a. _x000a_What are the total claims incurred in 2022 and paid through March 31, 2023? " dataDxfId="79"/>
    <tableColumn id="9" xr3:uid="{87B9B6E4-98C4-48BD-B505-72B0718F6488}" name="QG23b. _x000a_What are the total claims incurred in 2022 and paid through March 31, 2023, attributable to COVID-19? " dataDxfId="78"/>
    <tableColumn id="10" xr3:uid="{9308393A-1616-4319-8E9F-E4ACB69FD8B7}" name="QG23c. _x000a_Over-the-Counter (OTC) COVID-19 Testing Claims Cost" dataDxfId="77"/>
    <tableColumn id="11" xr3:uid="{857FCC08-0167-4108-B9E0-88C97679F1FF}" name="QG23d. _x000a_OTC Unique Members COVID-19 tested" dataDxfId="76"/>
    <tableColumn id="12" xr3:uid="{2861029D-A37D-4282-87B3-56A611D57ED4}" name="QG23e. _x000a_OTC Number of COVID-19  tests" dataDxfId="75"/>
    <tableColumn id="13" xr3:uid="{F2D0CC67-8849-41E4-B398-8A8A102D549D}" name="QG23f. _x000a_Non-OTC  COVID-19 Testing Claims Cost" dataDxfId="74"/>
    <tableColumn id="14" xr3:uid="{58E6B738-85A0-4B14-95B7-4AA6B84AA774}" name="QG23g. _x000a_Non-OTC Unique Members  COVID-19  tested" dataDxfId="73"/>
    <tableColumn id="15" xr3:uid="{EB228466-CC7E-40E2-86BC-228DBAC57C94}" name="QG23h. _x000a_Non-OTC Number of  COVID-19 tests" dataDxfId="72"/>
    <tableColumn id="16" xr3:uid="{E22E39C6-DC80-469F-934F-B1AB113CA162}" name="QG23i. _x000a_COVID-19 Treatment Claims Cost**" dataDxfId="71"/>
    <tableColumn id="17" xr3:uid="{2EF67F89-041A-496C-927C-E8542688F3A3}" name="QG23j. _x000a_Unique Members  COVID-19 treated" dataDxfId="70"/>
    <tableColumn id="18" xr3:uid="{DD533698-8F22-4A64-8014-D74FD1DCE9E2}" name="QG23k. _x000a_Other COVID-19 Claims Cost**" dataDxfId="69"/>
    <tableColumn id="19" xr3:uid="{1C2D3AE3-37D6-48E8-91BD-49C5F31DF079}" name="QG23l. _x000a_** Please define what costs are included in the  COVID-19 Treatment and Other categories (QG23i and QG23k):" dataDxfId="68"/>
    <tableColumn id="21" xr3:uid="{BEC8E908-71AA-4103-8F59-A05FCF0FAF73}" name="QG24a. March 2023  Contracts Self Only" dataDxfId="67"/>
    <tableColumn id="22" xr3:uid="{72BDF511-8A73-45C1-BBB8-1D38B3D8C3C7}" name="QG24b.  March 2023 Contracts Self Plus One " dataDxfId="66"/>
    <tableColumn id="23" xr3:uid="{547A282F-EC61-4D40-988F-4CC654F5E129}" name="QG24c.  March 2023 Contracts_x000a_Self and Family  " dataDxfId="65"/>
    <tableColumn id="24" xr3:uid="{2411CE76-3519-4211-987B-AC1C63CF35F8}" name="QG24d. March 2023 _x000a_Contracts with 2 Members" dataDxfId="64"/>
    <tableColumn id="25" xr3:uid="{EB2CB573-FAD0-47E5-BD6F-0089BF756467}" name="QG24e. March 2023 _x000a_Contracts with 3 or More Members" dataDxfId="63"/>
    <tableColumn id="26" xr3:uid="{393853EA-E6BD-4377-B9CF-47D5C7804674}" name="QG24f. March 2023 Contracts_x000a_Self Only Actives" dataDxfId="62"/>
    <tableColumn id="27" xr3:uid="{984D35F7-BF41-4CE5-85AD-A3FB7C27080B}" name="QG24g. March 2023 Contracts_x000a_Self Only Annuitants without Medicare" dataDxfId="61"/>
    <tableColumn id="28" xr3:uid="{BC54DEB5-B1DD-45F2-A781-240B9AC9CD0D}" name="QG24h. March 2023 Contracts_x000a_Self Only Annuitants with Medicare" dataDxfId="60"/>
    <tableColumn id="29" xr3:uid="{F136DC26-1AF9-4BC3-B9D7-D63E9FFB6FFC}" name="QG24i. March 2023 Contracts_x000a_Self Plus One Actives" dataDxfId="59"/>
    <tableColumn id="30" xr3:uid="{B6F1E449-B996-4232-810B-D0CACDDF0647}" name="QG24j. March 2023 Contracts_x000a_Self Plus One Annuitants without Medicare" dataDxfId="58"/>
    <tableColumn id="31" xr3:uid="{0D6C0E8B-B444-4251-9982-0AD18C3290CF}" name="QG24k. March 2023 Contracts_x000a_Self Plus One Annuitants with Medicare" dataDxfId="57"/>
    <tableColumn id="32" xr3:uid="{F0B7359A-EC7B-4F38-8989-AFC51241723B}" name="QG24l. March 2023 Contracts Self and Family Actives" dataDxfId="56"/>
    <tableColumn id="33" xr3:uid="{5853EA40-E01E-4323-BA51-705A29E1C3BA}" name="QG24m. March 2023 Contracts Self and Family Annuitants without Medicare" dataDxfId="55"/>
    <tableColumn id="34" xr3:uid="{9718F066-DA75-440D-82E5-76F9D79F360D}" name="QG24n. March 2023 Contracts_x000a_Self and Family Annuitants with Medicare" dataDxfId="54"/>
    <tableColumn id="35" xr3:uid="{364215BC-170B-485D-8303-8DBB1752695D}" name="QG24o. March 2023 Two Member Contracts Actives" dataDxfId="53"/>
    <tableColumn id="36" xr3:uid="{FDD8B780-E88D-47B7-A38E-8EB26AB679DC}" name="QG24p. March 2023 _x000a_Two Member Contracts Annuitants without Medicare" dataDxfId="52"/>
    <tableColumn id="37" xr3:uid="{7A46A421-4BAE-434D-B513-595562C8CFD0}" name="QG24q. March 2023 Two Member Contracts Annuitants with Medicare" dataDxfId="51"/>
    <tableColumn id="38" xr3:uid="{CEBB4167-297D-4108-A19D-8865D335CEB8}" name="QG24r. March 2023 Three or more Member Contracts Actives" dataDxfId="50"/>
    <tableColumn id="39" xr3:uid="{59F38BF0-A6E5-4581-9912-EFD8B5CA0273}" name="QG24s. March 2023 _x000a_Three or more Member Contracts Annuitants without Medicare" dataDxfId="49"/>
    <tableColumn id="40" xr3:uid="{4DFAFFE6-BD30-457E-831F-E3F9D1C4BBB9}" name="QG24t. March 2023 _x000a_Three or more Member Contracts Annuitants with Medicare" dataDxfId="48"/>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E5699A-5D89-4445-85B1-EAC0053BB2DD}" name="Table4" displayName="Table4" ref="A19:F29" headerRowCount="0" totalsRowShown="0" headerRowDxfId="47" headerRowBorderDxfId="46" tableBorderDxfId="45" totalsRowBorderDxfId="44">
  <tableColumns count="6">
    <tableColumn id="1" xr3:uid="{0C39A305-59F3-47F4-8DF3-ED9594E7AAE0}" name="Column1" headerRowDxfId="43" dataDxfId="42"/>
    <tableColumn id="2" xr3:uid="{383E75D0-BD08-447D-86A1-41595527D404}" name="Column2" headerRowDxfId="41" dataDxfId="40"/>
    <tableColumn id="3" xr3:uid="{2C4E49C0-3E3A-4A7D-A87B-342E6CADC76B}" name="Column3" headerRowDxfId="39" dataDxfId="38"/>
    <tableColumn id="4" xr3:uid="{A237F880-756A-494A-8EFC-2DD9D2A5D530}" name="Column4" headerRowDxfId="37" dataDxfId="36"/>
    <tableColumn id="5" xr3:uid="{36D41A33-4511-4756-B9C7-CE3F2BA658AC}" name="Column5" headerRowDxfId="35" dataDxfId="34"/>
    <tableColumn id="6" xr3:uid="{4A027BB6-78D7-4FD3-98A5-96AEC22A50F3}" name="Column6" headerRowDxfId="33" dataDxfId="32"/>
  </tableColumns>
  <tableStyleInfo name="Table Style 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1B9156-70A4-4A45-A1F9-23F94FF26C7F}" name="Attach2AMedicareLoading" displayName="Attach2AMedicareLoading" ref="A3:F8" totalsRowCount="1" headerRowDxfId="31" dataDxfId="30" tableBorderDxfId="29">
  <autoFilter ref="A3:F7" xr:uid="{AD1B9156-70A4-4A45-A1F9-23F94FF26C7F}">
    <filterColumn colId="0" hiddenButton="1"/>
    <filterColumn colId="1" hiddenButton="1"/>
    <filterColumn colId="2" hiddenButton="1"/>
    <filterColumn colId="3" hiddenButton="1"/>
    <filterColumn colId="4" hiddenButton="1"/>
    <filterColumn colId="5" hiddenButton="1"/>
  </autoFilter>
  <tableColumns count="6">
    <tableColumn id="1" xr3:uid="{1E92E067-50E1-4D62-91BD-3BC625D0B505}" name="Medicare Coverage " totalsRowLabel="Total Count" dataDxfId="28" totalsRowDxfId="27"/>
    <tableColumn id="2" xr3:uid="{B19AE881-EEF7-4711-90E8-1B7909E6EF3E}" name="(A)_x000a_Count" totalsRowFunction="sum" dataDxfId="26" totalsRowDxfId="25"/>
    <tableColumn id="3" xr3:uid="{048710E0-546F-46B6-9D23-B83F1C6F2EE4}" name="(B)_x000a_Cost of Benefits" dataDxfId="24" totalsRowDxfId="23"/>
    <tableColumn id="4" xr3:uid="{AE3EC786-309A-42C3-AE3B-7FB2EBC87424}" name="(C) _x000a_FEHB Premium" dataDxfId="22" totalsRowDxfId="21"/>
    <tableColumn id="5" xr3:uid="{BAADD87C-98EF-4CC6-9382-B02002AEEDF7}" name="(D)_x000a_Money from CMS" totalsRowLabel="Total Plan Costs (E)" dataDxfId="20" totalsRowDxfId="19"/>
    <tableColumn id="6" xr3:uid="{D62E3122-3B86-4E87-8DA8-E002EE3CB348}" name="Plan Cost_x000a_A*(B-C-D)" totalsRowFunction="custom" dataDxfId="18" totalsRowDxfId="17">
      <calculatedColumnFormula>ROUND(B4*(C4-D4-E4),2)</calculatedColumnFormula>
      <totalsRowFormula>ROUND(SUM(F4:F7),2)</totalsRowFormula>
    </tableColumn>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BB623E-FF65-458E-AAAA-904D1D0B80EE}" name="Attach2APotentialSSSG" displayName="Attach2APotentialSSSG" ref="A6:C16" totalsRowShown="0" headerRowDxfId="16" headerRowBorderDxfId="15" tableBorderDxfId="14" totalsRowBorderDxfId="13">
  <autoFilter ref="A6:C16" xr:uid="{E9BB623E-FF65-458E-AAAA-904D1D0B80EE}">
    <filterColumn colId="0" hiddenButton="1"/>
    <filterColumn colId="1" hiddenButton="1"/>
    <filterColumn colId="2" hiddenButton="1"/>
  </autoFilter>
  <tableColumns count="3">
    <tableColumn id="1" xr3:uid="{3726154D-A9AD-4E0F-8FC0-5FAD4E26300F}" name="NAME" dataDxfId="12"/>
    <tableColumn id="2" xr3:uid="{6AAD1FEF-6C02-468C-807F-1F28C23E7A8A}" name="ENROLLMENT" dataDxfId="11"/>
    <tableColumn id="3" xr3:uid="{6507917F-6CD4-4C87-8E98-5C183EBEB041}" name="AS OF (MM/DD/YYYY)" dataDxfId="10"/>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E001AE-0FF0-45E3-95AE-CCDD6536B164}" name="Attach2ASpecialBenefitsLoading" displayName="Attach2ASpecialBenefitsLoading" ref="A4:E14" totalsRowShown="0" headerRowDxfId="9" dataDxfId="7" headerRowBorderDxfId="8" tableBorderDxfId="6" totalsRowBorderDxfId="5">
  <autoFilter ref="A4:E14" xr:uid="{40E001AE-0FF0-45E3-95AE-CCDD6536B164}">
    <filterColumn colId="0" hiddenButton="1"/>
    <filterColumn colId="1" hiddenButton="1"/>
    <filterColumn colId="2" hiddenButton="1"/>
    <filterColumn colId="3" hiddenButton="1"/>
    <filterColumn colId="4" hiddenButton="1"/>
  </autoFilter>
  <tableColumns count="5">
    <tableColumn id="1" xr3:uid="{0E9ADE23-5272-4C07-B374-C565CC4F6D88}" name="Benefit" dataDxfId="4"/>
    <tableColumn id="2" xr3:uid="{770E3F65-A8E4-4232-A42E-8134ED6B0C76}" name="Cost/Member" dataDxfId="3"/>
    <tableColumn id="3" xr3:uid="{F60C49B8-9BB5-43A8-85D6-73BC76FDCD39}" name="Self Rates" dataDxfId="2"/>
    <tableColumn id="4" xr3:uid="{99087151-54E3-4CC7-91C8-0471F66E7C7D}" name="Self+1 Rates" dataDxfId="1"/>
    <tableColumn id="5" xr3:uid="{E2C1E97E-D24C-4EF8-A216-FC3068BEE888}" name="Family Rates"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87DCBF-AE2E-40ED-B463-A1F24829828E}" name="Attach1AQuestion" displayName="Attach1AQuestion" ref="A12:N175" totalsRowShown="0" headerRowDxfId="147" tableBorderDxfId="146">
  <autoFilter ref="A12:N175" xr:uid="{C787DCBF-AE2E-40ED-B463-A1F2482982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5E0F3F29-3A2C-47D0-98B6-7D324CAB2B23}" name="Self Enrollment Code" dataDxfId="145">
      <calculatedColumnFormula>IF('Attachment I (Small Carriers)'!A19="","",'Attachment I (Small Carriers)'!A19)</calculatedColumnFormula>
    </tableColumn>
    <tableColumn id="2" xr3:uid="{19FDCC32-4057-40E7-9AEC-0D5A56C42322}" name="OPTION _x000a_(High/Standard/HDHP/_x000a_CDHP/Basic/Value)" dataDxfId="144">
      <calculatedColumnFormula>IF('Attachment I (Small Carriers)'!B19="","",'Attachment I (Small Carriers)'!B19)</calculatedColumnFormula>
    </tableColumn>
    <tableColumn id="3" xr3:uid="{638261AC-DD86-4F27-815A-A187AEF8E6F3}" name="Contract Number" dataDxfId="143">
      <calculatedColumnFormula>IF('Attachment I (Small Carriers)'!C19="","",'Attachment I (Small Carriers)'!C19)</calculatedColumnFormula>
    </tableColumn>
    <tableColumn id="4" xr3:uid="{CA257DC0-900C-4049-BC77-EA9ECA2E4D54}" name="State or Region" dataDxfId="142">
      <calculatedColumnFormula>IF('Attachment I (Small Carriers)'!D19="","",'Attachment I (Small Carriers)'!D19)</calculatedColumnFormula>
    </tableColumn>
    <tableColumn id="5" xr3:uid="{72987BEC-3A25-4BBF-A5F1-CCACBF8C3153}" name="1.  Are you state mandated to rate large groups TCR? (Yes or No)"/>
    <tableColumn id="6" xr3:uid="{578F09B8-B663-4B6F-8320-0BD356A23A14}" name="2a.  Is your income for 2022 greater than $2,000,000? (Yes or No)"/>
    <tableColumn id="7" xr3:uid="{EB3E80C5-A4D1-49AC-B710-C66B13A289D3}" name="2b. If yes, what is Line 10, Payment Due Carrier/(FEHB), on Attachment III your 2023 Reconciliation?"/>
    <tableColumn id="8" xr3:uid="{34665125-C8AA-40A5-A8CD-D5CD95C2978D}" name="2c. Is the 2023 Line 10 amount Positive or Negative?"/>
    <tableColumn id="9" xr3:uid="{5EA4306B-802C-4946-BD3E-04260F22A4B5}" name="3a.  Is your income for 2021 greater than $2,000,000 (Yes or No)?"/>
    <tableColumn id="10" xr3:uid="{DF39714B-5D78-48A2-95B2-490999B40C65}" name="3b. If yes, what is Line 10, Payment Due Carrier/(FEHB), on Attachment III your 2022 Reconciliation?"/>
    <tableColumn id="11" xr3:uid="{7C18CF6A-8F13-4F2F-A91F-EC32BEB5ABD3}" name="3c. Is the 2022 Line 10 amount Positive or Negative?"/>
    <tableColumn id="12" xr3:uid="{DE6238FB-4F29-45F4-9BC5-E72FADF50E16}" name="4a. 2023 In-network Non-Medicare Actuarial Value (Please leave this question blank if you did not participate in the FEHB in 2023.)"/>
    <tableColumn id="13" xr3:uid="{37A453F6-4263-4D6E-A5B3-BE57A0E19DE4}" name="4b. 2024 In-network Non-Medicare Actuarial Value using the set of 2024 benefits proposed"/>
    <tableColumn id="14" xr3:uid="{FF9321A3-3B9D-409C-B954-7AF7BBF8796A}" name="If you were unable to use CMS' 2023 Actuarial Value Calculator, briefly describe why you were unable to use the calculator and how you developed the AV value provided:"/>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3EFDAF6-4FB5-4031-9471-00DEA2A32A3D}" name="Rates2022" displayName="Rates2022" ref="A26:D31" totalsRowShown="0" tableBorderDxfId="141">
  <autoFilter ref="A26:D31" xr:uid="{03EFDAF6-4FB5-4031-9471-00DEA2A32A3D}">
    <filterColumn colId="0" hiddenButton="1"/>
    <filterColumn colId="1" hiddenButton="1"/>
    <filterColumn colId="2" hiddenButton="1"/>
    <filterColumn colId="3" hiddenButton="1"/>
  </autoFilter>
  <tableColumns count="4">
    <tableColumn id="1" xr3:uid="{4FA70A41-301B-457B-BD0F-0FBAE129AE8C}" name="Description" dataDxfId="140"/>
    <tableColumn id="2" xr3:uid="{086A0C89-E302-4765-881F-3CCBBCB376AA}" name="Self" dataDxfId="139"/>
    <tableColumn id="3" xr3:uid="{7D35F46C-B67F-4131-ACDE-16380064FB5E}" name="Self+1" dataDxfId="138"/>
    <tableColumn id="4" xr3:uid="{60F37D9D-97F3-43CB-B5FD-FDF2A99CD1E6}" name="Family" dataDxfId="13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B9D7B76-1E05-4121-9B8B-6DCB74BED6D1}" name="Est2023MaxGovCont" displayName="Est2023MaxGovCont" ref="A40:D44" totalsRowShown="0" headerRowBorderDxfId="136" tableBorderDxfId="135">
  <autoFilter ref="A40:D44" xr:uid="{DB9D7B76-1E05-4121-9B8B-6DCB74BED6D1}">
    <filterColumn colId="0" hiddenButton="1"/>
    <filterColumn colId="1" hiddenButton="1"/>
    <filterColumn colId="2" hiddenButton="1"/>
    <filterColumn colId="3" hiddenButton="1"/>
  </autoFilter>
  <tableColumns count="4">
    <tableColumn id="2" xr3:uid="{02ECF038-8C04-495F-8EFC-B5BCE48E3CCF}" name="Percent Change " dataDxfId="134"/>
    <tableColumn id="3" xr3:uid="{0236A5C9-4FA8-4D62-96EB-1B69F391E695}" name="Self" dataDxfId="133">
      <calculatedColumnFormula>ROUND($B$27*(1+A34),2)</calculatedColumnFormula>
    </tableColumn>
    <tableColumn id="4" xr3:uid="{8C472039-B844-448A-A0FE-7785F3B1D0B2}" name="Self+1" dataDxfId="132">
      <calculatedColumnFormula>ROUND($C$27*(1+A34),2)</calculatedColumnFormula>
    </tableColumn>
    <tableColumn id="5" xr3:uid="{0072F44F-1166-49AD-9DCD-43E77CD16A0A}" name="Family">
      <calculatedColumnFormula>ROUND($D$27*(1+A34),2)</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FD4B76-717C-475F-8FCE-A7C701B60839}" name="GrossPremium2023" displayName="GrossPremium2023" ref="A48:D52" totalsRowShown="0" headerRowBorderDxfId="131" tableBorderDxfId="130">
  <autoFilter ref="A48:D52" xr:uid="{7BFD4B76-717C-475F-8FCE-A7C701B60839}">
    <filterColumn colId="0" hiddenButton="1"/>
    <filterColumn colId="1" hiddenButton="1"/>
    <filterColumn colId="2" hiddenButton="1"/>
    <filterColumn colId="3" hiddenButton="1"/>
  </autoFilter>
  <tableColumns count="4">
    <tableColumn id="1" xr3:uid="{E3AE0157-826C-4B04-B4B6-F679D39D53E8}" name="Percent Change " dataDxfId="129"/>
    <tableColumn id="2" xr3:uid="{195D5D45-9E17-4088-AB7F-CC35C791372E}" name="Self" dataDxfId="128">
      <calculatedColumnFormula>ROUND($B$21*1.04,2)</calculatedColumnFormula>
    </tableColumn>
    <tableColumn id="3" xr3:uid="{03E47FA9-34DF-41AE-B285-008106742DC2}" name="Self+1" dataDxfId="127">
      <calculatedColumnFormula>ROUND($C$21*1.04,2)</calculatedColumnFormula>
    </tableColumn>
    <tableColumn id="4" xr3:uid="{89F3131D-2B40-451A-974C-1FE954ECF142}" name="Family">
      <calculatedColumnFormula>ROUND($D$21*1.04,2)</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46EE6C6-2DC5-416D-99DF-F56F9EDF743D}" name="GovContribution2023" displayName="GovContribution2023" ref="A55:D59" totalsRowShown="0" headerRowDxfId="126" headerRowBorderDxfId="125" tableBorderDxfId="124">
  <autoFilter ref="A55:D59" xr:uid="{546EE6C6-2DC5-416D-99DF-F56F9EDF743D}">
    <filterColumn colId="0" hiddenButton="1"/>
    <filterColumn colId="1" hiddenButton="1"/>
    <filterColumn colId="2" hiddenButton="1"/>
    <filterColumn colId="3" hiddenButton="1"/>
  </autoFilter>
  <tableColumns count="4">
    <tableColumn id="1" xr3:uid="{3CA1C1A9-773F-4290-895A-33375B44A679}" name="Percent Change " dataDxfId="123"/>
    <tableColumn id="2" xr3:uid="{398CF1D1-BBA2-402B-8F53-AA7B5743C6A9}" name="Self" dataDxfId="122">
      <calculatedColumnFormula>MIN(B41,ROUND(B49*0.75,2))</calculatedColumnFormula>
    </tableColumn>
    <tableColumn id="3" xr3:uid="{A7AAA087-A50C-49DF-9969-2BACFACD83D9}" name="Self+1" dataDxfId="121">
      <calculatedColumnFormula>MIN(C41,ROUND(C49*0.75,2))</calculatedColumnFormula>
    </tableColumn>
    <tableColumn id="4" xr3:uid="{DCEC4A27-D385-4403-B532-85494E2C95DE}" name="Family" dataDxfId="120">
      <calculatedColumnFormula>MIN(D41,ROUND(D49*0.75,2))</calculatedColumnFormula>
    </tableColumn>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D295867-FFA3-409D-A087-EC005676CD51}" name="EnrolleeContribution2023" displayName="EnrolleeContribution2023" ref="A62:D66" totalsRowShown="0" headerRowDxfId="119" headerRowBorderDxfId="118" tableBorderDxfId="117">
  <autoFilter ref="A62:D66" xr:uid="{ED295867-FFA3-409D-A087-EC005676CD51}">
    <filterColumn colId="0" hiddenButton="1"/>
    <filterColumn colId="1" hiddenButton="1"/>
    <filterColumn colId="2" hiddenButton="1"/>
    <filterColumn colId="3" hiddenButton="1"/>
  </autoFilter>
  <tableColumns count="4">
    <tableColumn id="1" xr3:uid="{49E414F8-6868-4E82-82A9-70103412DB66}" name="Percent Change " dataDxfId="116"/>
    <tableColumn id="2" xr3:uid="{99D94E1E-6C5F-4F70-803A-C0B0BD13D91F}" name="Self" dataDxfId="115">
      <calculatedColumnFormula>B49-B56</calculatedColumnFormula>
    </tableColumn>
    <tableColumn id="3" xr3:uid="{7D84A38A-7441-4B93-BF0E-2199647EEDDC}" name="Self+1" dataDxfId="114">
      <calculatedColumnFormula>C49-C56</calculatedColumnFormula>
    </tableColumn>
    <tableColumn id="4" xr3:uid="{9D264C5C-8349-4D31-80FA-003339E1C802}" name="Family" dataDxfId="113">
      <calculatedColumnFormula>D49-D56</calculatedColumnFormula>
    </tableColumn>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8D4A2CE-5A8D-4B87-9344-DCA55BF90790}" name="EnrolleeContributionPercentIncrease" displayName="EnrolleeContributionPercentIncrease" ref="A69:D73" totalsRowShown="0" headerRowDxfId="112" headerRowBorderDxfId="111" tableBorderDxfId="110">
  <autoFilter ref="A69:D73" xr:uid="{18D4A2CE-5A8D-4B87-9344-DCA55BF90790}">
    <filterColumn colId="0" hiddenButton="1"/>
    <filterColumn colId="1" hiddenButton="1"/>
    <filterColumn colId="2" hiddenButton="1"/>
    <filterColumn colId="3" hiddenButton="1"/>
  </autoFilter>
  <tableColumns count="4">
    <tableColumn id="1" xr3:uid="{CA4A5EF2-0AA1-4CDA-8948-AAD0740D4075}" name="Percent Change " dataDxfId="109"/>
    <tableColumn id="2" xr3:uid="{24B2C0B4-1776-4197-8DE6-BB6C957078EF}" name="Self" dataDxfId="108" dataCellStyle="Percent">
      <calculatedColumnFormula>IFERROR(B63/B$31-1,"New Option")</calculatedColumnFormula>
    </tableColumn>
    <tableColumn id="3" xr3:uid="{9F453279-91DA-40C9-ABDA-D0E1B061EB0C}" name="Self+1" dataDxfId="107" dataCellStyle="Percent">
      <calculatedColumnFormula>IFERROR(C63/C$31-1,"New Option")</calculatedColumnFormula>
    </tableColumn>
    <tableColumn id="4" xr3:uid="{23DDC86B-A4F1-4B51-91F6-FAC76A228A8B}" name="Family" dataDxfId="106" dataCellStyle="Percent">
      <calculatedColumnFormula>IFERROR(D63/D$31-1,"New Option")</calculatedColumnFormula>
    </tableColumn>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AD6E5D1-FB11-4693-922F-7255A01EABDD}" name="AttachIILargeCarriers" displayName="AttachIILargeCarriers" ref="A9:D21" totalsRowShown="0" headerRowDxfId="105" tableBorderDxfId="104">
  <autoFilter ref="A9:D21" xr:uid="{7AD6E5D1-FB11-4693-922F-7255A01EABDD}">
    <filterColumn colId="0" hiddenButton="1"/>
    <filterColumn colId="1" hiddenButton="1"/>
    <filterColumn colId="2" hiddenButton="1"/>
    <filterColumn colId="3" hiddenButton="1"/>
  </autoFilter>
  <tableColumns count="4">
    <tableColumn id="1" xr3:uid="{30EFD058-538A-4168-B8AE-6426C23343F7}" name="Description" dataDxfId="103"/>
    <tableColumn id="2" xr3:uid="{EB48FEC2-7B52-48AF-8408-CFF47F71DE2C}" name="SELF" dataDxfId="102"/>
    <tableColumn id="3" xr3:uid="{96A492AF-AC51-446A-AF3C-8486230605C2}" name="SELF + 1" dataDxfId="101"/>
    <tableColumn id="4" xr3:uid="{EC450955-3C71-4492-AD52-EF773118BCFA}" name="FAMILY" dataDxfId="10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www.cms.gov/cciio/resources/regulations-and-guidance/index.html"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3.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 Id="rId9"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4.bin"/><Relationship Id="rId1" Type="http://schemas.openxmlformats.org/officeDocument/2006/relationships/hyperlink" Target="http://www.cms.gov/cciio/resources/regulations-and-guidance/index.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C8F29-B6B9-46C3-B31B-971495D20260}">
  <dimension ref="A1:AR181"/>
  <sheetViews>
    <sheetView tabSelected="1" zoomScale="89" zoomScaleNormal="89" workbookViewId="0">
      <selection activeCell="AO20" sqref="AO20"/>
    </sheetView>
  </sheetViews>
  <sheetFormatPr defaultColWidth="9.26953125" defaultRowHeight="14.5" x14ac:dyDescent="0.35"/>
  <cols>
    <col min="1" max="1" width="30.1796875" style="135" customWidth="1"/>
    <col min="2" max="2" width="27.26953125" style="135" customWidth="1"/>
    <col min="3" max="3" width="21.81640625" style="135" customWidth="1"/>
    <col min="4" max="4" width="15" style="135" customWidth="1"/>
    <col min="5" max="5" width="28.81640625" style="136" customWidth="1"/>
    <col min="6" max="6" width="29" style="136" customWidth="1"/>
    <col min="7" max="7" width="29.1796875" style="136" customWidth="1"/>
    <col min="8" max="8" width="41" style="136" customWidth="1"/>
    <col min="9" max="9" width="41.1796875" style="136" customWidth="1"/>
    <col min="10" max="10" width="41.453125" style="136" customWidth="1"/>
    <col min="11" max="11" width="41.26953125" style="136" customWidth="1"/>
    <col min="12" max="13" width="41.453125" style="137" customWidth="1"/>
    <col min="14" max="14" width="25.1796875" style="116" customWidth="1"/>
    <col min="15" max="16" width="25.26953125" style="116" customWidth="1"/>
    <col min="17" max="17" width="27.26953125" style="116" customWidth="1"/>
    <col min="18" max="18" width="27.26953125" style="117" customWidth="1"/>
    <col min="19" max="22" width="27.1796875" style="117" customWidth="1"/>
    <col min="23" max="25" width="30" style="117" customWidth="1"/>
    <col min="26" max="43" width="30" style="116" customWidth="1"/>
    <col min="44" max="16384" width="9.26953125" style="116"/>
  </cols>
  <sheetData>
    <row r="1" spans="1:35" ht="28.5" x14ac:dyDescent="0.35">
      <c r="A1" s="139" t="str">
        <f>"Attachment I - "&amp;year&amp;" RATE PROPOSAL - SMALL CARRIERS"</f>
        <v>Attachment I - 2024 RATE PROPOSAL - SMALL CARRIERS</v>
      </c>
      <c r="B1" s="110"/>
      <c r="C1" s="111"/>
      <c r="D1" s="111"/>
      <c r="E1" s="112"/>
      <c r="F1" s="112"/>
      <c r="G1" s="112"/>
      <c r="H1" s="112"/>
      <c r="I1" s="112"/>
      <c r="J1" s="112"/>
      <c r="K1" s="112"/>
      <c r="L1" s="113"/>
      <c r="M1" s="113"/>
      <c r="N1" s="114"/>
      <c r="O1" s="115"/>
      <c r="P1" s="115"/>
    </row>
    <row r="2" spans="1:35" s="142" customFormat="1" ht="18" customHeight="1" x14ac:dyDescent="0.35">
      <c r="A2" s="140" t="s">
        <v>0</v>
      </c>
      <c r="B2" s="146"/>
      <c r="C2" s="141"/>
      <c r="D2" s="141"/>
      <c r="E2" s="141"/>
      <c r="F2" s="141"/>
      <c r="G2" s="141"/>
      <c r="H2" s="141"/>
      <c r="I2" s="141"/>
      <c r="J2" s="141"/>
      <c r="K2" s="141"/>
      <c r="L2" s="127"/>
      <c r="M2" s="127"/>
      <c r="Q2" s="143"/>
      <c r="R2" s="143"/>
      <c r="S2" s="143"/>
      <c r="T2" s="143"/>
      <c r="U2" s="143"/>
      <c r="V2" s="143"/>
      <c r="W2" s="144"/>
      <c r="X2" s="145"/>
      <c r="Y2" s="145"/>
      <c r="Z2" s="127"/>
      <c r="AA2" s="127"/>
    </row>
    <row r="3" spans="1:35" ht="18" customHeight="1" x14ac:dyDescent="0.35">
      <c r="A3" s="149" t="s">
        <v>1</v>
      </c>
      <c r="B3" s="150"/>
      <c r="C3" s="7"/>
      <c r="D3" s="116"/>
      <c r="E3" s="116"/>
      <c r="F3" s="116"/>
      <c r="G3" s="116"/>
      <c r="H3" s="116"/>
      <c r="I3" s="116"/>
      <c r="J3" s="116"/>
      <c r="K3" s="116"/>
      <c r="L3" s="116"/>
      <c r="M3" s="116"/>
      <c r="R3" s="116"/>
      <c r="S3" s="116"/>
      <c r="T3" s="116"/>
      <c r="U3" s="116"/>
      <c r="V3" s="116"/>
      <c r="W3" s="116"/>
      <c r="X3" s="116"/>
      <c r="Y3" s="116"/>
    </row>
    <row r="4" spans="1:35" ht="18" customHeight="1" x14ac:dyDescent="0.35">
      <c r="A4" s="149" t="s">
        <v>76</v>
      </c>
      <c r="B4" s="151">
        <f>year</f>
        <v>2024</v>
      </c>
      <c r="C4" s="7"/>
      <c r="D4" s="116"/>
      <c r="E4" s="116"/>
      <c r="F4" s="116"/>
      <c r="G4" s="116"/>
      <c r="H4" s="116"/>
      <c r="I4" s="116"/>
      <c r="J4" s="116"/>
      <c r="K4" s="116"/>
      <c r="L4" s="116"/>
      <c r="M4" s="116"/>
      <c r="R4" s="116"/>
      <c r="S4" s="116"/>
      <c r="T4" s="116"/>
      <c r="U4" s="116"/>
      <c r="V4" s="116"/>
      <c r="W4" s="116"/>
      <c r="X4" s="116"/>
      <c r="Y4" s="116"/>
    </row>
    <row r="5" spans="1:35" ht="134.5" customHeight="1" x14ac:dyDescent="0.35">
      <c r="A5" s="152" t="str">
        <f>"Q1. What type(s) of community rating, Traditional Community Rating (TCR)/Community Rating by Class (CRC)/Adjusted Community Rating (ACR) do you propose to use for the Federal group in "&amp;year&amp;"?"</f>
        <v>Q1. What type(s) of community rating, Traditional Community Rating (TCR)/Community Rating by Class (CRC)/Adjusted Community Rating (ACR) do you propose to use for the Federal group in 2024?</v>
      </c>
      <c r="B5" s="150"/>
      <c r="C5" s="116"/>
      <c r="D5" s="116"/>
      <c r="E5" s="116"/>
      <c r="F5" s="116"/>
      <c r="G5" s="116"/>
      <c r="H5" s="116"/>
      <c r="I5" s="116"/>
      <c r="J5" s="116"/>
      <c r="K5" s="116"/>
      <c r="L5" s="116"/>
      <c r="M5" s="116"/>
      <c r="R5" s="116"/>
      <c r="S5" s="116"/>
      <c r="T5" s="116"/>
      <c r="U5" s="116"/>
      <c r="V5" s="116"/>
      <c r="W5" s="116"/>
      <c r="X5" s="116"/>
      <c r="Y5" s="116"/>
    </row>
    <row r="6" spans="1:35" x14ac:dyDescent="0.35">
      <c r="A6" s="116"/>
      <c r="B6" s="116"/>
      <c r="C6" s="116"/>
      <c r="D6" s="116"/>
      <c r="E6" s="116"/>
      <c r="F6" s="116"/>
      <c r="G6" s="116"/>
      <c r="H6" s="116"/>
      <c r="I6" s="116"/>
      <c r="J6" s="116"/>
      <c r="K6" s="116"/>
      <c r="L6" s="116"/>
      <c r="M6" s="116"/>
      <c r="R6" s="116"/>
      <c r="S6" s="116"/>
      <c r="T6" s="116"/>
      <c r="U6" s="116"/>
      <c r="V6" s="116"/>
      <c r="W6" s="116"/>
      <c r="X6" s="116"/>
      <c r="Y6" s="116"/>
    </row>
    <row r="7" spans="1:35" ht="18.5" x14ac:dyDescent="0.45">
      <c r="A7" s="155" t="s">
        <v>127</v>
      </c>
      <c r="B7" s="116"/>
      <c r="C7" s="116"/>
      <c r="D7" s="116"/>
      <c r="E7" s="116"/>
      <c r="F7" s="116"/>
      <c r="G7" s="116"/>
      <c r="H7" s="116"/>
      <c r="I7" s="116"/>
      <c r="J7" s="116"/>
      <c r="K7" s="116"/>
      <c r="L7" s="116"/>
      <c r="M7" s="116"/>
      <c r="R7" s="116"/>
      <c r="S7" s="116"/>
      <c r="T7" s="116"/>
      <c r="U7" s="116"/>
      <c r="V7" s="116"/>
      <c r="W7" s="116"/>
      <c r="X7" s="116"/>
      <c r="Y7" s="116"/>
    </row>
    <row r="8" spans="1:35" x14ac:dyDescent="0.35">
      <c r="A8" s="116" t="s">
        <v>176</v>
      </c>
      <c r="B8" s="119"/>
      <c r="C8" s="89"/>
      <c r="D8" s="116"/>
      <c r="E8" s="116"/>
      <c r="F8" s="116"/>
      <c r="G8" s="116"/>
      <c r="H8" s="116"/>
      <c r="I8" s="116"/>
      <c r="J8" s="116"/>
      <c r="K8" s="116"/>
      <c r="L8" s="116"/>
      <c r="M8" s="116"/>
      <c r="R8" s="116"/>
      <c r="S8" s="116"/>
      <c r="T8" s="116"/>
      <c r="U8" s="116"/>
      <c r="V8" s="116"/>
      <c r="W8" s="116"/>
      <c r="X8" s="116"/>
      <c r="Y8" s="116"/>
      <c r="AC8" s="89"/>
      <c r="AD8" s="89"/>
      <c r="AE8" s="89"/>
      <c r="AF8" s="89"/>
      <c r="AG8" s="89"/>
      <c r="AH8" s="89"/>
      <c r="AI8" s="7"/>
    </row>
    <row r="9" spans="1:35" x14ac:dyDescent="0.35">
      <c r="A9" s="148"/>
      <c r="B9" s="118"/>
      <c r="C9" s="41"/>
      <c r="D9" s="41"/>
      <c r="E9" s="116"/>
      <c r="F9" s="116"/>
      <c r="G9" s="116"/>
      <c r="H9" s="116"/>
      <c r="I9" s="116"/>
      <c r="J9" s="116"/>
      <c r="K9" s="116"/>
      <c r="L9" s="116"/>
      <c r="M9" s="116"/>
      <c r="R9" s="116"/>
      <c r="S9" s="116"/>
      <c r="T9" s="116"/>
      <c r="U9" s="116"/>
      <c r="V9" s="116"/>
      <c r="W9" s="116"/>
      <c r="X9" s="116"/>
      <c r="Y9" s="120"/>
      <c r="Z9" s="118"/>
      <c r="AA9" s="118"/>
      <c r="AB9" s="118"/>
      <c r="AC9" s="89"/>
      <c r="AD9" s="89"/>
      <c r="AE9" s="89"/>
      <c r="AF9" s="89"/>
      <c r="AG9" s="89"/>
      <c r="AH9" s="89"/>
      <c r="AI9" s="7"/>
    </row>
    <row r="10" spans="1:35" x14ac:dyDescent="0.35">
      <c r="A10" s="41" t="s">
        <v>137</v>
      </c>
      <c r="B10" s="118"/>
      <c r="C10" s="41"/>
      <c r="D10" s="41"/>
      <c r="E10" s="116"/>
      <c r="F10" s="116"/>
      <c r="G10" s="116"/>
      <c r="H10" s="116"/>
      <c r="I10" s="116"/>
      <c r="J10" s="116"/>
      <c r="K10" s="116"/>
      <c r="L10" s="116"/>
      <c r="M10" s="116"/>
      <c r="R10" s="116"/>
      <c r="S10" s="116"/>
      <c r="T10" s="116"/>
      <c r="U10" s="116"/>
      <c r="V10" s="116"/>
      <c r="W10" s="116"/>
      <c r="X10" s="116"/>
      <c r="Y10" s="120"/>
      <c r="Z10" s="118"/>
      <c r="AA10" s="118"/>
      <c r="AB10" s="118"/>
      <c r="AC10" s="89"/>
      <c r="AD10" s="89"/>
      <c r="AE10" s="89"/>
      <c r="AF10" s="89"/>
      <c r="AG10" s="89"/>
      <c r="AH10" s="89"/>
      <c r="AI10" s="7"/>
    </row>
    <row r="11" spans="1:35" x14ac:dyDescent="0.35">
      <c r="A11" s="41" t="s">
        <v>130</v>
      </c>
      <c r="B11" s="118"/>
      <c r="C11" s="41"/>
      <c r="D11" s="41"/>
      <c r="E11" s="116"/>
      <c r="F11" s="116"/>
      <c r="G11" s="116"/>
      <c r="H11" s="116"/>
      <c r="I11" s="116"/>
      <c r="J11" s="116"/>
      <c r="K11" s="116"/>
      <c r="L11" s="116"/>
      <c r="M11" s="116"/>
      <c r="R11" s="116"/>
      <c r="S11" s="116"/>
      <c r="T11" s="116"/>
      <c r="U11" s="116"/>
      <c r="V11" s="116"/>
      <c r="W11" s="116"/>
      <c r="X11" s="116"/>
      <c r="Y11" s="120"/>
      <c r="Z11" s="118"/>
      <c r="AA11" s="118"/>
      <c r="AB11" s="118"/>
      <c r="AC11" s="89"/>
      <c r="AD11" s="89"/>
      <c r="AE11" s="89"/>
      <c r="AF11" s="89"/>
      <c r="AG11" s="89"/>
      <c r="AH11" s="89"/>
      <c r="AI11" s="7"/>
    </row>
    <row r="12" spans="1:35" x14ac:dyDescent="0.35">
      <c r="A12" s="41" t="s">
        <v>131</v>
      </c>
      <c r="B12" s="118"/>
      <c r="C12" s="41"/>
      <c r="D12" s="41"/>
      <c r="E12" s="116"/>
      <c r="F12" s="116"/>
      <c r="G12" s="116"/>
      <c r="H12" s="116"/>
      <c r="I12" s="116"/>
      <c r="J12" s="116"/>
      <c r="K12" s="116"/>
      <c r="L12" s="116"/>
      <c r="M12" s="116"/>
      <c r="R12" s="116"/>
      <c r="S12" s="116"/>
      <c r="T12" s="116"/>
      <c r="U12" s="116"/>
      <c r="V12" s="116"/>
      <c r="W12" s="116"/>
      <c r="X12" s="116"/>
      <c r="Y12" s="120"/>
      <c r="Z12" s="118"/>
      <c r="AA12" s="118"/>
      <c r="AB12" s="118"/>
      <c r="AC12" s="89"/>
      <c r="AD12" s="89"/>
      <c r="AE12" s="89"/>
      <c r="AF12" s="89"/>
      <c r="AG12" s="89"/>
      <c r="AH12" s="89"/>
      <c r="AI12" s="7"/>
    </row>
    <row r="13" spans="1:35" x14ac:dyDescent="0.35">
      <c r="A13" s="41" t="s">
        <v>157</v>
      </c>
      <c r="C13" s="119"/>
      <c r="D13" s="89"/>
      <c r="E13" s="116"/>
      <c r="F13" s="116"/>
      <c r="G13" s="116"/>
      <c r="H13" s="116"/>
      <c r="I13" s="116"/>
      <c r="J13" s="116"/>
      <c r="K13" s="116"/>
      <c r="L13" s="116"/>
      <c r="M13" s="116"/>
      <c r="R13" s="116"/>
      <c r="S13" s="116"/>
      <c r="T13" s="116"/>
      <c r="U13" s="116"/>
      <c r="V13" s="116"/>
      <c r="W13" s="116"/>
      <c r="X13" s="116"/>
      <c r="Y13" s="120"/>
      <c r="Z13" s="118"/>
      <c r="AA13" s="118"/>
      <c r="AB13" s="118"/>
      <c r="AC13" s="89"/>
      <c r="AD13" s="89"/>
      <c r="AE13" s="89"/>
      <c r="AF13" s="89"/>
      <c r="AG13" s="89"/>
      <c r="AH13" s="89"/>
      <c r="AI13" s="7"/>
    </row>
    <row r="14" spans="1:35" ht="29" x14ac:dyDescent="0.35">
      <c r="A14" s="197" t="str">
        <f>$B$14*100&amp;"% increase to "&amp;"2023 Maximum Government Contribution"</f>
        <v>0% increase to 2023 Maximum Government Contribution</v>
      </c>
      <c r="B14" s="246">
        <v>0</v>
      </c>
      <c r="E14" s="116"/>
      <c r="F14" s="116"/>
      <c r="G14" s="116"/>
      <c r="H14" s="116"/>
      <c r="I14" s="116"/>
      <c r="J14" s="116"/>
      <c r="K14" s="116"/>
      <c r="L14" s="116"/>
      <c r="M14" s="116"/>
      <c r="R14" s="116"/>
      <c r="S14" s="116"/>
      <c r="T14" s="116"/>
      <c r="U14" s="116"/>
      <c r="V14" s="116"/>
      <c r="W14" s="116"/>
      <c r="X14" s="116"/>
      <c r="Y14" s="120"/>
      <c r="Z14" s="118"/>
      <c r="AA14" s="118"/>
      <c r="AB14" s="118"/>
      <c r="AC14" s="89"/>
      <c r="AD14" s="89"/>
      <c r="AE14" s="89"/>
      <c r="AF14" s="89"/>
      <c r="AG14" s="89"/>
      <c r="AH14" s="89"/>
      <c r="AI14" s="7"/>
    </row>
    <row r="15" spans="1:35" x14ac:dyDescent="0.35">
      <c r="A15" s="116"/>
      <c r="B15" s="116"/>
      <c r="C15" s="116"/>
      <c r="D15" s="116"/>
      <c r="E15" s="116"/>
      <c r="F15" s="116"/>
      <c r="G15" s="116"/>
      <c r="H15" s="116"/>
      <c r="I15" s="116"/>
      <c r="J15" s="116"/>
      <c r="K15" s="116"/>
      <c r="L15" s="116"/>
      <c r="M15" s="116"/>
      <c r="R15" s="116"/>
      <c r="S15" s="116"/>
      <c r="T15" s="116"/>
      <c r="U15" s="116"/>
      <c r="V15" s="116"/>
      <c r="W15" s="116"/>
      <c r="X15" s="116"/>
      <c r="Y15" s="116"/>
    </row>
    <row r="16" spans="1:35" ht="18.5" x14ac:dyDescent="0.35">
      <c r="A16" s="153" t="s">
        <v>113</v>
      </c>
      <c r="B16" s="116"/>
      <c r="C16" s="116"/>
      <c r="D16" s="116"/>
      <c r="E16" s="116"/>
      <c r="F16" s="116"/>
      <c r="G16" s="116"/>
      <c r="H16" s="116"/>
      <c r="I16" s="116"/>
      <c r="J16" s="116"/>
      <c r="K16" s="116"/>
      <c r="L16" s="116"/>
      <c r="M16" s="116"/>
      <c r="R16" s="116"/>
      <c r="S16" s="116"/>
      <c r="T16" s="116"/>
      <c r="U16" s="116"/>
      <c r="V16" s="116"/>
      <c r="W16" s="116"/>
      <c r="X16" s="116"/>
      <c r="Y16" s="116"/>
    </row>
    <row r="17" spans="1:44" ht="15" thickBot="1" x14ac:dyDescent="0.4">
      <c r="A17" s="138" t="s">
        <v>111</v>
      </c>
      <c r="B17" s="116"/>
      <c r="C17" s="116"/>
      <c r="D17" s="116"/>
      <c r="E17" s="116"/>
      <c r="F17" s="116"/>
      <c r="G17" s="116"/>
      <c r="H17" s="116"/>
      <c r="I17" s="116"/>
      <c r="J17" s="116"/>
      <c r="K17" s="116"/>
      <c r="L17" s="116"/>
      <c r="M17" s="116"/>
      <c r="R17" s="116"/>
      <c r="S17" s="116"/>
      <c r="T17" s="116"/>
      <c r="U17" s="116"/>
      <c r="V17" s="116"/>
      <c r="W17" s="116"/>
      <c r="X17" s="116"/>
      <c r="Y17" s="116"/>
    </row>
    <row r="18" spans="1:44" s="245" customFormat="1" ht="90.75" customHeight="1" thickBot="1" x14ac:dyDescent="0.4">
      <c r="A18" s="235" t="s">
        <v>91</v>
      </c>
      <c r="B18" s="236" t="s">
        <v>114</v>
      </c>
      <c r="C18" s="237" t="s">
        <v>90</v>
      </c>
      <c r="D18" s="238" t="s">
        <v>94</v>
      </c>
      <c r="E18" s="239" t="s">
        <v>139</v>
      </c>
      <c r="F18" s="240" t="s">
        <v>140</v>
      </c>
      <c r="G18" s="241" t="s">
        <v>141</v>
      </c>
      <c r="H18" s="239" t="s">
        <v>158</v>
      </c>
      <c r="I18" s="240" t="s">
        <v>159</v>
      </c>
      <c r="J18" s="241" t="s">
        <v>160</v>
      </c>
      <c r="K18" s="239" t="s">
        <v>142</v>
      </c>
      <c r="L18" s="240" t="s">
        <v>143</v>
      </c>
      <c r="M18" s="241" t="s">
        <v>144</v>
      </c>
      <c r="N18" s="242" t="s">
        <v>161</v>
      </c>
      <c r="O18" s="243" t="s">
        <v>162</v>
      </c>
      <c r="P18" s="244" t="s">
        <v>163</v>
      </c>
      <c r="Q18" s="242" t="s">
        <v>164</v>
      </c>
      <c r="R18" s="243" t="s">
        <v>165</v>
      </c>
      <c r="S18" s="244" t="s">
        <v>166</v>
      </c>
      <c r="T18" s="242" t="s">
        <v>167</v>
      </c>
      <c r="U18" s="243" t="s">
        <v>168</v>
      </c>
      <c r="V18" s="244" t="s">
        <v>169</v>
      </c>
      <c r="W18" s="242" t="s">
        <v>170</v>
      </c>
      <c r="X18" s="243" t="s">
        <v>171</v>
      </c>
      <c r="Y18" s="244" t="s">
        <v>172</v>
      </c>
      <c r="Z18" s="242" t="s">
        <v>173</v>
      </c>
      <c r="AA18" s="243" t="s">
        <v>174</v>
      </c>
      <c r="AB18" s="244" t="s">
        <v>175</v>
      </c>
      <c r="AC18" s="242" t="s">
        <v>145</v>
      </c>
      <c r="AD18" s="243" t="s">
        <v>146</v>
      </c>
      <c r="AE18" s="244" t="s">
        <v>147</v>
      </c>
      <c r="AF18" s="242" t="s">
        <v>148</v>
      </c>
      <c r="AG18" s="243" t="s">
        <v>149</v>
      </c>
      <c r="AH18" s="244" t="s">
        <v>150</v>
      </c>
      <c r="AI18" s="242" t="s">
        <v>151</v>
      </c>
      <c r="AJ18" s="243" t="s">
        <v>152</v>
      </c>
      <c r="AK18" s="244" t="s">
        <v>153</v>
      </c>
      <c r="AL18" s="242" t="s">
        <v>154</v>
      </c>
      <c r="AM18" s="243" t="s">
        <v>155</v>
      </c>
      <c r="AN18" s="244" t="s">
        <v>156</v>
      </c>
      <c r="AO18" s="242" t="s">
        <v>135</v>
      </c>
      <c r="AP18" s="243" t="s">
        <v>132</v>
      </c>
      <c r="AQ18" s="244" t="s">
        <v>133</v>
      </c>
    </row>
    <row r="19" spans="1:44" ht="18" customHeight="1" x14ac:dyDescent="0.35">
      <c r="A19" s="121"/>
      <c r="B19" s="121"/>
      <c r="C19" s="121"/>
      <c r="D19" s="121"/>
      <c r="E19" s="122"/>
      <c r="F19" s="122"/>
      <c r="G19" s="122"/>
      <c r="H19" s="122"/>
      <c r="I19" s="122"/>
      <c r="J19" s="122"/>
      <c r="K19" s="122"/>
      <c r="L19" s="123"/>
      <c r="M19" s="123"/>
      <c r="N19" s="215"/>
      <c r="O19" s="215"/>
      <c r="P19" s="215"/>
      <c r="Q19" s="216" t="str">
        <f t="shared" ref="Q19:Q26" si="0">IF(E19="","",ROUND(N19*1.04,2))</f>
        <v/>
      </c>
      <c r="R19" s="217" t="str">
        <f t="shared" ref="R19:R26" si="1">IF(E19="","",ROUND(O19*1.04,2))</f>
        <v/>
      </c>
      <c r="S19" s="217" t="str">
        <f t="shared" ref="S19:S26" si="2">IF(E19="","",ROUND(P19*1.04,2))</f>
        <v/>
      </c>
      <c r="T19" s="147">
        <v>259.72000000000003</v>
      </c>
      <c r="U19" s="147">
        <v>560.52</v>
      </c>
      <c r="V19" s="147">
        <v>611.41999999999996</v>
      </c>
      <c r="W19" s="38" t="str">
        <f>IF(E19="","",IF(Q19&gt;0,MIN(T19,ROUND(Q19*0.75,2)),"New Option"))</f>
        <v/>
      </c>
      <c r="X19" s="217" t="str">
        <f>IF(E19="","",IF(R19&gt;0,MIN(Att1SmallCarriers[[#This Row],[2023 Maximum Government Contribution
Self+1]],ROUND(R19*0.75,2)),"New Option"))</f>
        <v/>
      </c>
      <c r="Y19" s="217" t="str">
        <f>IF(E19="","",IF(S19&gt;0,MIN(Att1SmallCarriers[[#This Row],[2023 Maximum Government Contribution
Family]],ROUND(S19*0.75,2)),"New Option"))</f>
        <v/>
      </c>
      <c r="Z19" s="217" t="str">
        <f t="shared" ref="Z19:Z50" si="3">IF(E19="","",IF(Q19&gt;0, Q19-W19,"New Option"))</f>
        <v/>
      </c>
      <c r="AA19" s="217" t="str">
        <f t="shared" ref="AA19:AA50" si="4">IF(E19="","",IF(R19&gt;0, R19-X19,"New Option"))</f>
        <v/>
      </c>
      <c r="AB19" s="217" t="str">
        <f t="shared" ref="AB19:AB50" si="5">IF(E19="","",IF(S19&gt;0, S19-Y19,"New Option"))</f>
        <v/>
      </c>
      <c r="AC19" s="217" t="str">
        <f t="shared" ref="AC19:AC50" si="6">IF(E19="","",ROUND(K19*1.04,2))</f>
        <v/>
      </c>
      <c r="AD19" s="217" t="str">
        <f t="shared" ref="AD19:AD50" si="7">IF(E19="","",ROUND(L19*1.04,2))</f>
        <v/>
      </c>
      <c r="AE19" s="217" t="str">
        <f t="shared" ref="AE19:AE50" si="8">IF(E19="","",ROUND(M19*1.04,2))</f>
        <v/>
      </c>
      <c r="AF19" s="89">
        <f>ROUND(Att1SmallCarriers[[#This Row],[2023 Maximum Government Contribution
Self]]*(1+$B$14),2)</f>
        <v>259.72000000000003</v>
      </c>
      <c r="AG19" s="89">
        <f>ROUND(Att1SmallCarriers[[#This Row],[2023 Maximum Government Contribution
Self+1]]*(1+$B$14),2)</f>
        <v>560.52</v>
      </c>
      <c r="AH19" s="89">
        <f>ROUND(Att1SmallCarriers[[#This Row],[2023 Maximum Government Contribution
Family]]*(1+$B$14),2)</f>
        <v>611.41999999999996</v>
      </c>
      <c r="AI19" s="217" t="str">
        <f>IF(E19="","",MIN(Att1SmallCarriers[[#This Row],[ESTIMATED 2024 Maximum Government Contribution
Self]],ROUND(AC19*0.75,2)))</f>
        <v/>
      </c>
      <c r="AJ19" s="217" t="str">
        <f>IF(E19="","",MIN(Att1SmallCarriers[[#This Row],[ESTIMATED 2024 Maximum Government Contribution
Self+1]],ROUND(AD19*0.75,2)))</f>
        <v/>
      </c>
      <c r="AK19" s="217" t="str">
        <f>IF(E19="","",MIN(Att1SmallCarriers[[#This Row],[ESTIMATED 2024 Maximum Government Contribution
Family]],ROUND(AE19*0.75,2)))</f>
        <v/>
      </c>
      <c r="AL19" s="217" t="str">
        <f t="shared" ref="AL19:AL50" si="9">IF(E19="","",AC19-AI19)</f>
        <v/>
      </c>
      <c r="AM19" s="217" t="str">
        <f>IF(E19="","",AD19-AJ19)</f>
        <v/>
      </c>
      <c r="AN19" s="217" t="str">
        <f>IF(E19="","",AE19-AK19)</f>
        <v/>
      </c>
      <c r="AO19" s="218" t="str">
        <f>IF(E19="","",IFERROR(AL19/Z19-1,"New Option"))</f>
        <v/>
      </c>
      <c r="AP19" s="218" t="str">
        <f>IF(E19="","",IFERROR(AM19/AA19-1,"New Option"))</f>
        <v/>
      </c>
      <c r="AQ19" s="218" t="str">
        <f>IF(E19="","",IFERROR(AN19/AB19-1,"New Option"))</f>
        <v/>
      </c>
      <c r="AR19" s="118"/>
    </row>
    <row r="20" spans="1:44" ht="18" customHeight="1" x14ac:dyDescent="0.35">
      <c r="A20" s="121"/>
      <c r="B20" s="121"/>
      <c r="C20" s="121"/>
      <c r="D20" s="121"/>
      <c r="E20" s="122"/>
      <c r="F20" s="122"/>
      <c r="G20" s="122"/>
      <c r="H20" s="122"/>
      <c r="I20" s="122"/>
      <c r="J20" s="122"/>
      <c r="K20" s="122"/>
      <c r="L20" s="123"/>
      <c r="M20" s="123"/>
      <c r="N20" s="40"/>
      <c r="O20" s="40"/>
      <c r="P20" s="40"/>
      <c r="Q20" s="39" t="str">
        <f t="shared" si="0"/>
        <v/>
      </c>
      <c r="R20" s="38" t="str">
        <f t="shared" si="1"/>
        <v/>
      </c>
      <c r="S20" s="38" t="str">
        <f t="shared" si="2"/>
        <v/>
      </c>
      <c r="T20" s="147">
        <v>259.72000000000003</v>
      </c>
      <c r="U20" s="147">
        <v>560.52</v>
      </c>
      <c r="V20" s="147">
        <v>611.41999999999996</v>
      </c>
      <c r="W20" s="38" t="str">
        <f t="shared" ref="W20:W83" si="10">IF(E20="","",IF(Q20&gt;0,MIN(T20,ROUND(Q20*0.75,2)),"New Option"))</f>
        <v/>
      </c>
      <c r="X20" s="217" t="str">
        <f>IF(E20="","",IF(R20&gt;0,MIN(Att1SmallCarriers[[#This Row],[2023 Maximum Government Contribution
Self+1]],ROUND(R20*0.75,2)),"New Option"))</f>
        <v/>
      </c>
      <c r="Y20" s="217" t="str">
        <f>IF(E20="","",IF(S20&gt;0,MIN(Att1SmallCarriers[[#This Row],[2023 Maximum Government Contribution
Family]],ROUND(S20*0.75,2)),"New Option"))</f>
        <v/>
      </c>
      <c r="Z20" s="38" t="str">
        <f t="shared" si="3"/>
        <v/>
      </c>
      <c r="AA20" s="38" t="str">
        <f t="shared" si="4"/>
        <v/>
      </c>
      <c r="AB20" s="38" t="str">
        <f t="shared" si="5"/>
        <v/>
      </c>
      <c r="AC20" s="38" t="str">
        <f t="shared" si="6"/>
        <v/>
      </c>
      <c r="AD20" s="38" t="str">
        <f t="shared" si="7"/>
        <v/>
      </c>
      <c r="AE20" s="38" t="str">
        <f t="shared" si="8"/>
        <v/>
      </c>
      <c r="AF20" s="89">
        <f>ROUND(Att1SmallCarriers[[#This Row],[2023 Maximum Government Contribution
Self]]*(1+$B$14),2)</f>
        <v>259.72000000000003</v>
      </c>
      <c r="AG20" s="89">
        <f>ROUND(Att1SmallCarriers[[#This Row],[2023 Maximum Government Contribution
Self+1]]*(1+$B$14),2)</f>
        <v>560.52</v>
      </c>
      <c r="AH20" s="89">
        <f>ROUND(Att1SmallCarriers[[#This Row],[2023 Maximum Government Contribution
Family]]*(1+$B$14),2)</f>
        <v>611.41999999999996</v>
      </c>
      <c r="AI20" s="217" t="str">
        <f>IF(E20="","",MIN(Att1SmallCarriers[[#This Row],[ESTIMATED 2024 Maximum Government Contribution
Self]],ROUND(AC20*0.75,2)))</f>
        <v/>
      </c>
      <c r="AJ20" s="217" t="str">
        <f>IF(E20="","",MIN(Att1SmallCarriers[[#This Row],[ESTIMATED 2024 Maximum Government Contribution
Self+1]],ROUND(AD20*0.75,2)))</f>
        <v/>
      </c>
      <c r="AK20" s="217" t="str">
        <f>IF(E20="","",MIN(Att1SmallCarriers[[#This Row],[ESTIMATED 2024 Maximum Government Contribution
Family]],ROUND(AE20*0.75,2)))</f>
        <v/>
      </c>
      <c r="AL20" s="38" t="str">
        <f>IF(E20="","",AC20-AI20)</f>
        <v/>
      </c>
      <c r="AM20" s="38" t="str">
        <f t="shared" ref="AM20:AM50" si="11">IF(E20="","",AD20-AJ20)</f>
        <v/>
      </c>
      <c r="AN20" s="38" t="str">
        <f>IF(E20="","",AE20-AK20)</f>
        <v/>
      </c>
      <c r="AO20" s="218" t="str">
        <f t="shared" ref="AO20:AO83" si="12">IF(E20="","",IFERROR(AL20/Z20-1,"New Option"))</f>
        <v/>
      </c>
      <c r="AP20" s="218" t="str">
        <f t="shared" ref="AP20:AP83" si="13">IF(E20="","",IFERROR(AM20/AA20-1,"New Option"))</f>
        <v/>
      </c>
      <c r="AQ20" s="218" t="str">
        <f t="shared" ref="AQ20:AQ83" si="14">IF(E20="","",IFERROR(AN20/AB20-1,"New Option"))</f>
        <v/>
      </c>
      <c r="AR20" s="118"/>
    </row>
    <row r="21" spans="1:44" ht="18" customHeight="1" x14ac:dyDescent="0.35">
      <c r="A21" s="121"/>
      <c r="B21" s="121"/>
      <c r="C21" s="121"/>
      <c r="D21" s="121"/>
      <c r="E21" s="122"/>
      <c r="F21" s="122"/>
      <c r="G21" s="122"/>
      <c r="H21" s="122"/>
      <c r="I21" s="122"/>
      <c r="J21" s="122"/>
      <c r="K21" s="122"/>
      <c r="L21" s="123"/>
      <c r="M21" s="123"/>
      <c r="N21" s="40"/>
      <c r="O21" s="40"/>
      <c r="P21" s="40"/>
      <c r="Q21" s="39" t="str">
        <f t="shared" si="0"/>
        <v/>
      </c>
      <c r="R21" s="38" t="str">
        <f t="shared" si="1"/>
        <v/>
      </c>
      <c r="S21" s="38" t="str">
        <f t="shared" si="2"/>
        <v/>
      </c>
      <c r="T21" s="147">
        <v>259.72000000000003</v>
      </c>
      <c r="U21" s="147">
        <v>560.52</v>
      </c>
      <c r="V21" s="147">
        <v>611.41999999999996</v>
      </c>
      <c r="W21" s="38" t="str">
        <f t="shared" si="10"/>
        <v/>
      </c>
      <c r="X21" s="217" t="str">
        <f>IF(E21="","",IF(R21&gt;0,MIN(Att1SmallCarriers[[#This Row],[2023 Maximum Government Contribution
Self+1]],ROUND(R21*0.75,2)),"New Option"))</f>
        <v/>
      </c>
      <c r="Y21" s="217" t="str">
        <f>IF(E21="","",IF(S21&gt;0,MIN(Att1SmallCarriers[[#This Row],[2023 Maximum Government Contribution
Family]],ROUND(S21*0.75,2)),"New Option"))</f>
        <v/>
      </c>
      <c r="Z21" s="38" t="str">
        <f t="shared" si="3"/>
        <v/>
      </c>
      <c r="AA21" s="38" t="str">
        <f t="shared" si="4"/>
        <v/>
      </c>
      <c r="AB21" s="38" t="str">
        <f t="shared" si="5"/>
        <v/>
      </c>
      <c r="AC21" s="38" t="str">
        <f>IF(E21="","",ROUND(K21*1.04,2))</f>
        <v/>
      </c>
      <c r="AD21" s="38" t="str">
        <f t="shared" si="7"/>
        <v/>
      </c>
      <c r="AE21" s="38" t="str">
        <f t="shared" si="8"/>
        <v/>
      </c>
      <c r="AF21" s="89">
        <f>ROUND(Att1SmallCarriers[[#This Row],[2023 Maximum Government Contribution
Self]]*(1+$B$14),2)</f>
        <v>259.72000000000003</v>
      </c>
      <c r="AG21" s="89">
        <f>ROUND(Att1SmallCarriers[[#This Row],[2023 Maximum Government Contribution
Self+1]]*(1+$B$14),2)</f>
        <v>560.52</v>
      </c>
      <c r="AH21" s="89">
        <f>ROUND(Att1SmallCarriers[[#This Row],[2023 Maximum Government Contribution
Family]]*(1+$B$14),2)</f>
        <v>611.41999999999996</v>
      </c>
      <c r="AI21" s="217" t="str">
        <f>IF(E21="","",MIN(Att1SmallCarriers[[#This Row],[ESTIMATED 2024 Maximum Government Contribution
Self]],ROUND(AC21*0.75,2)))</f>
        <v/>
      </c>
      <c r="AJ21" s="217" t="str">
        <f>IF(E21="","",MIN(Att1SmallCarriers[[#This Row],[ESTIMATED 2024 Maximum Government Contribution
Self+1]],ROUND(AD21*0.75,2)))</f>
        <v/>
      </c>
      <c r="AK21" s="217" t="str">
        <f>IF(E21="","",MIN(Att1SmallCarriers[[#This Row],[ESTIMATED 2024 Maximum Government Contribution
Family]],ROUND(AE21*0.75,2)))</f>
        <v/>
      </c>
      <c r="AL21" s="38" t="str">
        <f>IF(E21="","",AC21-AI21)</f>
        <v/>
      </c>
      <c r="AM21" s="38" t="str">
        <f t="shared" si="11"/>
        <v/>
      </c>
      <c r="AN21" s="38" t="str">
        <f t="shared" ref="AN21:AN50" si="15">IF(E21="","",AE21-AK21)</f>
        <v/>
      </c>
      <c r="AO21" s="218" t="str">
        <f t="shared" si="12"/>
        <v/>
      </c>
      <c r="AP21" s="218" t="str">
        <f t="shared" si="13"/>
        <v/>
      </c>
      <c r="AQ21" s="218" t="str">
        <f t="shared" si="14"/>
        <v/>
      </c>
    </row>
    <row r="22" spans="1:44" ht="18" customHeight="1" x14ac:dyDescent="0.35">
      <c r="A22" s="121"/>
      <c r="B22" s="121"/>
      <c r="C22" s="121"/>
      <c r="D22" s="121"/>
      <c r="E22" s="122"/>
      <c r="F22" s="122"/>
      <c r="G22" s="122"/>
      <c r="H22" s="122"/>
      <c r="I22" s="122"/>
      <c r="J22" s="122"/>
      <c r="K22" s="122"/>
      <c r="L22" s="123"/>
      <c r="M22" s="123"/>
      <c r="N22" s="40"/>
      <c r="O22" s="40"/>
      <c r="P22" s="40"/>
      <c r="Q22" s="39" t="str">
        <f t="shared" si="0"/>
        <v/>
      </c>
      <c r="R22" s="38" t="str">
        <f t="shared" si="1"/>
        <v/>
      </c>
      <c r="S22" s="38" t="str">
        <f t="shared" si="2"/>
        <v/>
      </c>
      <c r="T22" s="147">
        <v>259.72000000000003</v>
      </c>
      <c r="U22" s="147">
        <v>560.52</v>
      </c>
      <c r="V22" s="147">
        <v>611.41999999999996</v>
      </c>
      <c r="W22" s="38" t="str">
        <f t="shared" si="10"/>
        <v/>
      </c>
      <c r="X22" s="217" t="str">
        <f>IF(E22="","",IF(R22&gt;0,MIN(Att1SmallCarriers[[#This Row],[2023 Maximum Government Contribution
Self+1]],ROUND(R22*0.75,2)),"New Option"))</f>
        <v/>
      </c>
      <c r="Y22" s="217" t="str">
        <f>IF(E22="","",IF(S22&gt;0,MIN(Att1SmallCarriers[[#This Row],[2023 Maximum Government Contribution
Family]],ROUND(S22*0.75,2)),"New Option"))</f>
        <v/>
      </c>
      <c r="Z22" s="38" t="str">
        <f t="shared" si="3"/>
        <v/>
      </c>
      <c r="AA22" s="38" t="str">
        <f>IF(E22="","",IF(R22&gt;0, R22-X22,"New Option"))</f>
        <v/>
      </c>
      <c r="AB22" s="38" t="str">
        <f>IF(E22="","",IF(S22&gt;0, S22-Y22,"New Option"))</f>
        <v/>
      </c>
      <c r="AC22" s="38" t="str">
        <f t="shared" si="6"/>
        <v/>
      </c>
      <c r="AD22" s="38" t="str">
        <f t="shared" si="7"/>
        <v/>
      </c>
      <c r="AE22" s="38" t="str">
        <f t="shared" si="8"/>
        <v/>
      </c>
      <c r="AF22" s="89">
        <f>ROUND(Att1SmallCarriers[[#This Row],[2023 Maximum Government Contribution
Self]]*(1+$B$14),2)</f>
        <v>259.72000000000003</v>
      </c>
      <c r="AG22" s="89">
        <f>ROUND(Att1SmallCarriers[[#This Row],[2023 Maximum Government Contribution
Self+1]]*(1+$B$14),2)</f>
        <v>560.52</v>
      </c>
      <c r="AH22" s="89">
        <f>ROUND(Att1SmallCarriers[[#This Row],[2023 Maximum Government Contribution
Family]]*(1+$B$14),2)</f>
        <v>611.41999999999996</v>
      </c>
      <c r="AI22" s="217" t="str">
        <f>IF(E22="","",MIN(Att1SmallCarriers[[#This Row],[ESTIMATED 2024 Maximum Government Contribution
Self]],ROUND(AC22*0.75,2)))</f>
        <v/>
      </c>
      <c r="AJ22" s="217" t="str">
        <f>IF(E22="","",MIN(Att1SmallCarriers[[#This Row],[ESTIMATED 2024 Maximum Government Contribution
Self+1]],ROUND(AD22*0.75,2)))</f>
        <v/>
      </c>
      <c r="AK22" s="217" t="str">
        <f>IF(E22="","",MIN(Att1SmallCarriers[[#This Row],[ESTIMATED 2024 Maximum Government Contribution
Family]],ROUND(AE22*0.75,2)))</f>
        <v/>
      </c>
      <c r="AL22" s="38" t="str">
        <f t="shared" si="9"/>
        <v/>
      </c>
      <c r="AM22" s="38" t="str">
        <f t="shared" si="11"/>
        <v/>
      </c>
      <c r="AN22" s="38" t="str">
        <f t="shared" si="15"/>
        <v/>
      </c>
      <c r="AO22" s="218" t="str">
        <f t="shared" si="12"/>
        <v/>
      </c>
      <c r="AP22" s="218" t="str">
        <f t="shared" si="13"/>
        <v/>
      </c>
      <c r="AQ22" s="218" t="str">
        <f t="shared" si="14"/>
        <v/>
      </c>
    </row>
    <row r="23" spans="1:44" ht="18" customHeight="1" x14ac:dyDescent="0.35">
      <c r="A23" s="121"/>
      <c r="B23" s="121"/>
      <c r="C23" s="121"/>
      <c r="D23" s="121"/>
      <c r="E23" s="122"/>
      <c r="F23" s="122"/>
      <c r="G23" s="122"/>
      <c r="H23" s="122"/>
      <c r="I23" s="122"/>
      <c r="J23" s="122"/>
      <c r="K23" s="122"/>
      <c r="L23" s="123"/>
      <c r="M23" s="123"/>
      <c r="N23" s="40"/>
      <c r="O23" s="40"/>
      <c r="P23" s="40"/>
      <c r="Q23" s="39" t="str">
        <f t="shared" si="0"/>
        <v/>
      </c>
      <c r="R23" s="38" t="str">
        <f t="shared" si="1"/>
        <v/>
      </c>
      <c r="S23" s="38" t="str">
        <f t="shared" si="2"/>
        <v/>
      </c>
      <c r="T23" s="147">
        <v>259.72000000000003</v>
      </c>
      <c r="U23" s="147">
        <v>560.52</v>
      </c>
      <c r="V23" s="147">
        <v>611.41999999999996</v>
      </c>
      <c r="W23" s="38" t="str">
        <f t="shared" si="10"/>
        <v/>
      </c>
      <c r="X23" s="217" t="str">
        <f>IF(E23="","",IF(R23&gt;0,MIN(Att1SmallCarriers[[#This Row],[2023 Maximum Government Contribution
Self+1]],ROUND(R23*0.75,2)),"New Option"))</f>
        <v/>
      </c>
      <c r="Y23" s="217" t="str">
        <f>IF(E23="","",IF(S23&gt;0,MIN(Att1SmallCarriers[[#This Row],[2023 Maximum Government Contribution
Family]],ROUND(S23*0.75,2)),"New Option"))</f>
        <v/>
      </c>
      <c r="Z23" s="38" t="str">
        <f t="shared" si="3"/>
        <v/>
      </c>
      <c r="AA23" s="38" t="str">
        <f t="shared" si="4"/>
        <v/>
      </c>
      <c r="AB23" s="38" t="str">
        <f t="shared" si="5"/>
        <v/>
      </c>
      <c r="AC23" s="38" t="str">
        <f t="shared" si="6"/>
        <v/>
      </c>
      <c r="AD23" s="38" t="str">
        <f t="shared" si="7"/>
        <v/>
      </c>
      <c r="AE23" s="38" t="str">
        <f>IF(E23="","",ROUND(M23*1.04,2))</f>
        <v/>
      </c>
      <c r="AF23" s="89">
        <f>ROUND(Att1SmallCarriers[[#This Row],[2023 Maximum Government Contribution
Self]]*(1+$B$14),2)</f>
        <v>259.72000000000003</v>
      </c>
      <c r="AG23" s="89">
        <f>ROUND(Att1SmallCarriers[[#This Row],[2023 Maximum Government Contribution
Self+1]]*(1+$B$14),2)</f>
        <v>560.52</v>
      </c>
      <c r="AH23" s="89">
        <f>ROUND(Att1SmallCarriers[[#This Row],[2023 Maximum Government Contribution
Family]]*(1+$B$14),2)</f>
        <v>611.41999999999996</v>
      </c>
      <c r="AI23" s="217" t="str">
        <f>IF(E23="","",MIN(Att1SmallCarriers[[#This Row],[ESTIMATED 2024 Maximum Government Contribution
Self]],ROUND(AC23*0.75,2)))</f>
        <v/>
      </c>
      <c r="AJ23" s="217" t="str">
        <f>IF(E23="","",MIN(Att1SmallCarriers[[#This Row],[ESTIMATED 2024 Maximum Government Contribution
Self+1]],ROUND(AD23*0.75,2)))</f>
        <v/>
      </c>
      <c r="AK23" s="217" t="str">
        <f>IF(E23="","",MIN(Att1SmallCarriers[[#This Row],[ESTIMATED 2024 Maximum Government Contribution
Family]],ROUND(AE23*0.75,2)))</f>
        <v/>
      </c>
      <c r="AL23" s="38" t="str">
        <f t="shared" si="9"/>
        <v/>
      </c>
      <c r="AM23" s="38" t="str">
        <f t="shared" si="11"/>
        <v/>
      </c>
      <c r="AN23" s="38" t="str">
        <f t="shared" si="15"/>
        <v/>
      </c>
      <c r="AO23" s="218" t="str">
        <f t="shared" si="12"/>
        <v/>
      </c>
      <c r="AP23" s="218" t="str">
        <f t="shared" si="13"/>
        <v/>
      </c>
      <c r="AQ23" s="218" t="str">
        <f t="shared" si="14"/>
        <v/>
      </c>
    </row>
    <row r="24" spans="1:44" ht="18" customHeight="1" x14ac:dyDescent="0.35">
      <c r="A24" s="121"/>
      <c r="B24" s="121"/>
      <c r="C24" s="121"/>
      <c r="D24" s="121"/>
      <c r="E24" s="122"/>
      <c r="F24" s="122"/>
      <c r="G24" s="122"/>
      <c r="H24" s="122"/>
      <c r="I24" s="122"/>
      <c r="J24" s="122"/>
      <c r="K24" s="122"/>
      <c r="L24" s="123"/>
      <c r="M24" s="123"/>
      <c r="N24" s="40"/>
      <c r="O24" s="40"/>
      <c r="P24" s="40"/>
      <c r="Q24" s="39" t="str">
        <f t="shared" si="0"/>
        <v/>
      </c>
      <c r="R24" s="38" t="str">
        <f t="shared" si="1"/>
        <v/>
      </c>
      <c r="S24" s="38" t="str">
        <f t="shared" si="2"/>
        <v/>
      </c>
      <c r="T24" s="147">
        <v>259.72000000000003</v>
      </c>
      <c r="U24" s="147">
        <v>560.52</v>
      </c>
      <c r="V24" s="147">
        <v>611.41999999999996</v>
      </c>
      <c r="W24" s="38" t="str">
        <f t="shared" si="10"/>
        <v/>
      </c>
      <c r="X24" s="217" t="str">
        <f>IF(E24="","",IF(R24&gt;0,MIN(Att1SmallCarriers[[#This Row],[2023 Maximum Government Contribution
Self+1]],ROUND(R24*0.75,2)),"New Option"))</f>
        <v/>
      </c>
      <c r="Y24" s="217" t="str">
        <f>IF(E24="","",IF(S24&gt;0,MIN(Att1SmallCarriers[[#This Row],[2023 Maximum Government Contribution
Family]],ROUND(S24*0.75,2)),"New Option"))</f>
        <v/>
      </c>
      <c r="Z24" s="38" t="str">
        <f t="shared" si="3"/>
        <v/>
      </c>
      <c r="AA24" s="38" t="str">
        <f t="shared" si="4"/>
        <v/>
      </c>
      <c r="AB24" s="38" t="str">
        <f t="shared" si="5"/>
        <v/>
      </c>
      <c r="AC24" s="38" t="str">
        <f t="shared" si="6"/>
        <v/>
      </c>
      <c r="AD24" s="38" t="str">
        <f t="shared" si="7"/>
        <v/>
      </c>
      <c r="AE24" s="38" t="str">
        <f t="shared" si="8"/>
        <v/>
      </c>
      <c r="AF24" s="89">
        <f>ROUND(Att1SmallCarriers[[#This Row],[2023 Maximum Government Contribution
Self]]*(1+$B$14),2)</f>
        <v>259.72000000000003</v>
      </c>
      <c r="AG24" s="89">
        <f>ROUND(Att1SmallCarriers[[#This Row],[2023 Maximum Government Contribution
Self+1]]*(1+$B$14),2)</f>
        <v>560.52</v>
      </c>
      <c r="AH24" s="89">
        <f>ROUND(Att1SmallCarriers[[#This Row],[2023 Maximum Government Contribution
Family]]*(1+$B$14),2)</f>
        <v>611.41999999999996</v>
      </c>
      <c r="AI24" s="217" t="str">
        <f>IF(E24="","",MIN(Att1SmallCarriers[[#This Row],[ESTIMATED 2024 Maximum Government Contribution
Self]],ROUND(AC24*0.75,2)))</f>
        <v/>
      </c>
      <c r="AJ24" s="217" t="str">
        <f>IF(E24="","",MIN(Att1SmallCarriers[[#This Row],[ESTIMATED 2024 Maximum Government Contribution
Self+1]],ROUND(AD24*0.75,2)))</f>
        <v/>
      </c>
      <c r="AK24" s="217" t="str">
        <f>IF(E24="","",MIN(Att1SmallCarriers[[#This Row],[ESTIMATED 2024 Maximum Government Contribution
Family]],ROUND(AE24*0.75,2)))</f>
        <v/>
      </c>
      <c r="AL24" s="38" t="str">
        <f t="shared" si="9"/>
        <v/>
      </c>
      <c r="AM24" s="38" t="str">
        <f>IF(E24="","",AD24-AJ24)</f>
        <v/>
      </c>
      <c r="AN24" s="38" t="str">
        <f t="shared" si="15"/>
        <v/>
      </c>
      <c r="AO24" s="218" t="str">
        <f t="shared" si="12"/>
        <v/>
      </c>
      <c r="AP24" s="218" t="str">
        <f t="shared" si="13"/>
        <v/>
      </c>
      <c r="AQ24" s="218" t="str">
        <f t="shared" si="14"/>
        <v/>
      </c>
    </row>
    <row r="25" spans="1:44" ht="18" customHeight="1" x14ac:dyDescent="0.35">
      <c r="A25" s="121"/>
      <c r="B25" s="121"/>
      <c r="C25" s="121"/>
      <c r="D25" s="121"/>
      <c r="E25" s="122"/>
      <c r="F25" s="122"/>
      <c r="G25" s="122"/>
      <c r="H25" s="122"/>
      <c r="I25" s="122"/>
      <c r="J25" s="122"/>
      <c r="K25" s="122"/>
      <c r="L25" s="123"/>
      <c r="M25" s="123"/>
      <c r="N25" s="40"/>
      <c r="O25" s="40"/>
      <c r="P25" s="40"/>
      <c r="Q25" s="39" t="str">
        <f t="shared" si="0"/>
        <v/>
      </c>
      <c r="R25" s="38" t="str">
        <f t="shared" si="1"/>
        <v/>
      </c>
      <c r="S25" s="38" t="str">
        <f t="shared" si="2"/>
        <v/>
      </c>
      <c r="T25" s="147">
        <v>259.72000000000003</v>
      </c>
      <c r="U25" s="147">
        <v>560.52</v>
      </c>
      <c r="V25" s="147">
        <v>611.41999999999996</v>
      </c>
      <c r="W25" s="38" t="str">
        <f t="shared" si="10"/>
        <v/>
      </c>
      <c r="X25" s="217" t="str">
        <f>IF(E25="","",IF(R25&gt;0,MIN(Att1SmallCarriers[[#This Row],[2023 Maximum Government Contribution
Self+1]],ROUND(R25*0.75,2)),"New Option"))</f>
        <v/>
      </c>
      <c r="Y25" s="217" t="str">
        <f>IF(E25="","",IF(S25&gt;0,MIN(Att1SmallCarriers[[#This Row],[2023 Maximum Government Contribution
Family]],ROUND(S25*0.75,2)),"New Option"))</f>
        <v/>
      </c>
      <c r="Z25" s="38" t="str">
        <f t="shared" si="3"/>
        <v/>
      </c>
      <c r="AA25" s="38" t="str">
        <f t="shared" si="4"/>
        <v/>
      </c>
      <c r="AB25" s="38" t="str">
        <f t="shared" si="5"/>
        <v/>
      </c>
      <c r="AC25" s="38" t="str">
        <f t="shared" si="6"/>
        <v/>
      </c>
      <c r="AD25" s="38" t="str">
        <f t="shared" si="7"/>
        <v/>
      </c>
      <c r="AE25" s="38" t="str">
        <f t="shared" si="8"/>
        <v/>
      </c>
      <c r="AF25" s="89">
        <f>ROUND(Att1SmallCarriers[[#This Row],[2023 Maximum Government Contribution
Self]]*(1+$B$14),2)</f>
        <v>259.72000000000003</v>
      </c>
      <c r="AG25" s="89">
        <f>ROUND(Att1SmallCarriers[[#This Row],[2023 Maximum Government Contribution
Self+1]]*(1+$B$14),2)</f>
        <v>560.52</v>
      </c>
      <c r="AH25" s="89">
        <f>ROUND(Att1SmallCarriers[[#This Row],[2023 Maximum Government Contribution
Family]]*(1+$B$14),2)</f>
        <v>611.41999999999996</v>
      </c>
      <c r="AI25" s="217" t="str">
        <f>IF(E25="","",MIN(Att1SmallCarriers[[#This Row],[ESTIMATED 2024 Maximum Government Contribution
Self]],ROUND(AC25*0.75,2)))</f>
        <v/>
      </c>
      <c r="AJ25" s="217" t="str">
        <f>IF(E25="","",MIN(Att1SmallCarriers[[#This Row],[ESTIMATED 2024 Maximum Government Contribution
Self+1]],ROUND(AD25*0.75,2)))</f>
        <v/>
      </c>
      <c r="AK25" s="217" t="str">
        <f>IF(E25="","",MIN(Att1SmallCarriers[[#This Row],[ESTIMATED 2024 Maximum Government Contribution
Family]],ROUND(AE25*0.75,2)))</f>
        <v/>
      </c>
      <c r="AL25" s="38" t="str">
        <f t="shared" si="9"/>
        <v/>
      </c>
      <c r="AM25" s="38" t="str">
        <f t="shared" si="11"/>
        <v/>
      </c>
      <c r="AN25" s="38" t="str">
        <f t="shared" si="15"/>
        <v/>
      </c>
      <c r="AO25" s="218" t="str">
        <f t="shared" si="12"/>
        <v/>
      </c>
      <c r="AP25" s="218" t="str">
        <f t="shared" si="13"/>
        <v/>
      </c>
      <c r="AQ25" s="218" t="str">
        <f t="shared" si="14"/>
        <v/>
      </c>
    </row>
    <row r="26" spans="1:44" ht="18" customHeight="1" x14ac:dyDescent="0.35">
      <c r="A26" s="124"/>
      <c r="B26" s="124"/>
      <c r="C26" s="124"/>
      <c r="D26" s="124"/>
      <c r="E26" s="125"/>
      <c r="F26" s="125"/>
      <c r="G26" s="125"/>
      <c r="H26" s="125"/>
      <c r="I26" s="125"/>
      <c r="J26" s="125"/>
      <c r="K26" s="125"/>
      <c r="L26" s="126"/>
      <c r="M26" s="126"/>
      <c r="N26" s="40"/>
      <c r="O26" s="40"/>
      <c r="P26" s="40"/>
      <c r="Q26" s="39" t="str">
        <f t="shared" si="0"/>
        <v/>
      </c>
      <c r="R26" s="38" t="str">
        <f t="shared" si="1"/>
        <v/>
      </c>
      <c r="S26" s="38" t="str">
        <f t="shared" si="2"/>
        <v/>
      </c>
      <c r="T26" s="147">
        <v>259.72000000000003</v>
      </c>
      <c r="U26" s="147">
        <v>560.52</v>
      </c>
      <c r="V26" s="147">
        <v>611.41999999999996</v>
      </c>
      <c r="W26" s="38" t="str">
        <f t="shared" si="10"/>
        <v/>
      </c>
      <c r="X26" s="217" t="str">
        <f>IF(E26="","",IF(R26&gt;0,MIN(Att1SmallCarriers[[#This Row],[2023 Maximum Government Contribution
Self+1]],ROUND(R26*0.75,2)),"New Option"))</f>
        <v/>
      </c>
      <c r="Y26" s="217" t="str">
        <f>IF(E26="","",IF(S26&gt;0,MIN(Att1SmallCarriers[[#This Row],[2023 Maximum Government Contribution
Family]],ROUND(S26*0.75,2)),"New Option"))</f>
        <v/>
      </c>
      <c r="Z26" s="38" t="str">
        <f t="shared" si="3"/>
        <v/>
      </c>
      <c r="AA26" s="38" t="str">
        <f t="shared" si="4"/>
        <v/>
      </c>
      <c r="AB26" s="38" t="str">
        <f t="shared" si="5"/>
        <v/>
      </c>
      <c r="AC26" s="38" t="str">
        <f t="shared" si="6"/>
        <v/>
      </c>
      <c r="AD26" s="38" t="str">
        <f t="shared" si="7"/>
        <v/>
      </c>
      <c r="AE26" s="38" t="str">
        <f t="shared" si="8"/>
        <v/>
      </c>
      <c r="AF26" s="89">
        <f>ROUND(Att1SmallCarriers[[#This Row],[2023 Maximum Government Contribution
Self]]*(1+$B$14),2)</f>
        <v>259.72000000000003</v>
      </c>
      <c r="AG26" s="89">
        <f>ROUND(Att1SmallCarriers[[#This Row],[2023 Maximum Government Contribution
Self+1]]*(1+$B$14),2)</f>
        <v>560.52</v>
      </c>
      <c r="AH26" s="89">
        <f>ROUND(Att1SmallCarriers[[#This Row],[2023 Maximum Government Contribution
Family]]*(1+$B$14),2)</f>
        <v>611.41999999999996</v>
      </c>
      <c r="AI26" s="217" t="str">
        <f>IF(E26="","",MIN(Att1SmallCarriers[[#This Row],[ESTIMATED 2024 Maximum Government Contribution
Self]],ROUND(AC26*0.75,2)))</f>
        <v/>
      </c>
      <c r="AJ26" s="217" t="str">
        <f>IF(E26="","",MIN(Att1SmallCarriers[[#This Row],[ESTIMATED 2024 Maximum Government Contribution
Self+1]],ROUND(AD26*0.75,2)))</f>
        <v/>
      </c>
      <c r="AK26" s="217" t="str">
        <f>IF(E26="","",MIN(Att1SmallCarriers[[#This Row],[ESTIMATED 2024 Maximum Government Contribution
Family]],ROUND(AE26*0.75,2)))</f>
        <v/>
      </c>
      <c r="AL26" s="38" t="str">
        <f t="shared" si="9"/>
        <v/>
      </c>
      <c r="AM26" s="38" t="str">
        <f t="shared" si="11"/>
        <v/>
      </c>
      <c r="AN26" s="38" t="str">
        <f t="shared" si="15"/>
        <v/>
      </c>
      <c r="AO26" s="218" t="str">
        <f t="shared" si="12"/>
        <v/>
      </c>
      <c r="AP26" s="218" t="str">
        <f t="shared" si="13"/>
        <v/>
      </c>
      <c r="AQ26" s="218" t="str">
        <f t="shared" si="14"/>
        <v/>
      </c>
    </row>
    <row r="27" spans="1:44" ht="18" customHeight="1" x14ac:dyDescent="0.35">
      <c r="A27" s="124"/>
      <c r="B27" s="124"/>
      <c r="C27" s="124"/>
      <c r="D27" s="124"/>
      <c r="E27" s="125"/>
      <c r="F27" s="125"/>
      <c r="G27" s="125"/>
      <c r="H27" s="125"/>
      <c r="I27" s="125"/>
      <c r="J27" s="125"/>
      <c r="K27" s="125"/>
      <c r="L27" s="123"/>
      <c r="M27" s="123"/>
      <c r="N27" s="40"/>
      <c r="O27" s="40"/>
      <c r="P27" s="40"/>
      <c r="Q27" s="39" t="str">
        <f t="shared" ref="Q27:Q83" si="16">IF(E27="","",ROUND(N27*1.04,2))</f>
        <v/>
      </c>
      <c r="R27" s="38" t="str">
        <f t="shared" ref="R27:R83" si="17">IF(E27="","",ROUND(O27*1.04,2))</f>
        <v/>
      </c>
      <c r="S27" s="38" t="str">
        <f t="shared" ref="S27:S83" si="18">IF(E27="","",ROUND(P27*1.04,2))</f>
        <v/>
      </c>
      <c r="T27" s="147">
        <v>259.72000000000003</v>
      </c>
      <c r="U27" s="147">
        <v>560.52</v>
      </c>
      <c r="V27" s="147">
        <v>611.41999999999996</v>
      </c>
      <c r="W27" s="38" t="str">
        <f t="shared" si="10"/>
        <v/>
      </c>
      <c r="X27" s="217" t="str">
        <f>IF(E27="","",IF(R27&gt;0,MIN(Att1SmallCarriers[[#This Row],[2023 Maximum Government Contribution
Self+1]],ROUND(R27*0.75,2)),"New Option"))</f>
        <v/>
      </c>
      <c r="Y27" s="217" t="str">
        <f>IF(E27="","",IF(S27&gt;0,MIN(Att1SmallCarriers[[#This Row],[2023 Maximum Government Contribution
Family]],ROUND(S27*0.75,2)),"New Option"))</f>
        <v/>
      </c>
      <c r="Z27" s="38" t="str">
        <f t="shared" si="3"/>
        <v/>
      </c>
      <c r="AA27" s="38" t="str">
        <f t="shared" si="4"/>
        <v/>
      </c>
      <c r="AB27" s="38" t="str">
        <f t="shared" si="5"/>
        <v/>
      </c>
      <c r="AC27" s="38" t="str">
        <f t="shared" si="6"/>
        <v/>
      </c>
      <c r="AD27" s="38" t="str">
        <f t="shared" si="7"/>
        <v/>
      </c>
      <c r="AE27" s="38" t="str">
        <f t="shared" si="8"/>
        <v/>
      </c>
      <c r="AF27" s="89">
        <f>ROUND(Att1SmallCarriers[[#This Row],[2023 Maximum Government Contribution
Self]]*(1+$B$14),2)</f>
        <v>259.72000000000003</v>
      </c>
      <c r="AG27" s="89">
        <f>ROUND(Att1SmallCarriers[[#This Row],[2023 Maximum Government Contribution
Self+1]]*(1+$B$14),2)</f>
        <v>560.52</v>
      </c>
      <c r="AH27" s="89">
        <f>ROUND(Att1SmallCarriers[[#This Row],[2023 Maximum Government Contribution
Family]]*(1+$B$14),2)</f>
        <v>611.41999999999996</v>
      </c>
      <c r="AI27" s="217" t="str">
        <f>IF(E27="","",MIN(Att1SmallCarriers[[#This Row],[ESTIMATED 2024 Maximum Government Contribution
Self]],ROUND(AC27*0.75,2)))</f>
        <v/>
      </c>
      <c r="AJ27" s="217" t="str">
        <f>IF(E27="","",MIN(Att1SmallCarriers[[#This Row],[ESTIMATED 2024 Maximum Government Contribution
Self+1]],ROUND(AD27*0.75,2)))</f>
        <v/>
      </c>
      <c r="AK27" s="217" t="str">
        <f>IF(E27="","",MIN(Att1SmallCarriers[[#This Row],[ESTIMATED 2024 Maximum Government Contribution
Family]],ROUND(AE27*0.75,2)))</f>
        <v/>
      </c>
      <c r="AL27" s="38" t="str">
        <f>IF(E27="","",AC27-AI27)</f>
        <v/>
      </c>
      <c r="AM27" s="38" t="str">
        <f>IF(E27="","",AD27-AJ27)</f>
        <v/>
      </c>
      <c r="AN27" s="38" t="str">
        <f>IF(E27="","",AE27-AK27)</f>
        <v/>
      </c>
      <c r="AO27" s="218" t="str">
        <f t="shared" si="12"/>
        <v/>
      </c>
      <c r="AP27" s="218" t="str">
        <f t="shared" si="13"/>
        <v/>
      </c>
      <c r="AQ27" s="218" t="str">
        <f t="shared" si="14"/>
        <v/>
      </c>
    </row>
    <row r="28" spans="1:44" ht="18" customHeight="1" x14ac:dyDescent="0.35">
      <c r="A28" s="121"/>
      <c r="B28" s="121"/>
      <c r="C28" s="121"/>
      <c r="D28" s="121"/>
      <c r="E28" s="122"/>
      <c r="F28" s="122"/>
      <c r="G28" s="122"/>
      <c r="H28" s="122"/>
      <c r="I28" s="122"/>
      <c r="J28" s="122"/>
      <c r="K28" s="122"/>
      <c r="L28" s="123"/>
      <c r="M28" s="123"/>
      <c r="N28" s="40"/>
      <c r="O28" s="40"/>
      <c r="P28" s="40"/>
      <c r="Q28" s="39" t="str">
        <f t="shared" si="16"/>
        <v/>
      </c>
      <c r="R28" s="38" t="str">
        <f t="shared" si="17"/>
        <v/>
      </c>
      <c r="S28" s="38" t="str">
        <f t="shared" si="18"/>
        <v/>
      </c>
      <c r="T28" s="147">
        <v>259.72000000000003</v>
      </c>
      <c r="U28" s="147">
        <v>560.52</v>
      </c>
      <c r="V28" s="147">
        <v>611.41999999999996</v>
      </c>
      <c r="W28" s="38" t="str">
        <f t="shared" si="10"/>
        <v/>
      </c>
      <c r="X28" s="217" t="str">
        <f>IF(E28="","",IF(R28&gt;0,MIN(Att1SmallCarriers[[#This Row],[2023 Maximum Government Contribution
Self+1]],ROUND(R28*0.75,2)),"New Option"))</f>
        <v/>
      </c>
      <c r="Y28" s="217" t="str">
        <f>IF(E28="","",IF(S28&gt;0,MIN(Att1SmallCarriers[[#This Row],[2023 Maximum Government Contribution
Family]],ROUND(S28*0.75,2)),"New Option"))</f>
        <v/>
      </c>
      <c r="Z28" s="38" t="str">
        <f t="shared" si="3"/>
        <v/>
      </c>
      <c r="AA28" s="38" t="str">
        <f t="shared" si="4"/>
        <v/>
      </c>
      <c r="AB28" s="38" t="str">
        <f t="shared" si="5"/>
        <v/>
      </c>
      <c r="AC28" s="38" t="str">
        <f t="shared" si="6"/>
        <v/>
      </c>
      <c r="AD28" s="38" t="str">
        <f t="shared" si="7"/>
        <v/>
      </c>
      <c r="AE28" s="38" t="str">
        <f t="shared" si="8"/>
        <v/>
      </c>
      <c r="AF28" s="89">
        <f>ROUND(Att1SmallCarriers[[#This Row],[2023 Maximum Government Contribution
Self]]*(1+$B$14),2)</f>
        <v>259.72000000000003</v>
      </c>
      <c r="AG28" s="89">
        <f>ROUND(Att1SmallCarriers[[#This Row],[2023 Maximum Government Contribution
Self+1]]*(1+$B$14),2)</f>
        <v>560.52</v>
      </c>
      <c r="AH28" s="89">
        <f>ROUND(Att1SmallCarriers[[#This Row],[2023 Maximum Government Contribution
Family]]*(1+$B$14),2)</f>
        <v>611.41999999999996</v>
      </c>
      <c r="AI28" s="217" t="str">
        <f>IF(E28="","",MIN(Att1SmallCarriers[[#This Row],[ESTIMATED 2024 Maximum Government Contribution
Self]],ROUND(AC28*0.75,2)))</f>
        <v/>
      </c>
      <c r="AJ28" s="217" t="str">
        <f>IF(E28="","",MIN(Att1SmallCarriers[[#This Row],[ESTIMATED 2024 Maximum Government Contribution
Self+1]],ROUND(AD28*0.75,2)))</f>
        <v/>
      </c>
      <c r="AK28" s="217" t="str">
        <f>IF(E28="","",MIN(Att1SmallCarriers[[#This Row],[ESTIMATED 2024 Maximum Government Contribution
Family]],ROUND(AE28*0.75,2)))</f>
        <v/>
      </c>
      <c r="AL28" s="38" t="str">
        <f t="shared" si="9"/>
        <v/>
      </c>
      <c r="AM28" s="38" t="str">
        <f t="shared" si="11"/>
        <v/>
      </c>
      <c r="AN28" s="38" t="str">
        <f t="shared" si="15"/>
        <v/>
      </c>
      <c r="AO28" s="218" t="str">
        <f t="shared" si="12"/>
        <v/>
      </c>
      <c r="AP28" s="218" t="str">
        <f t="shared" si="13"/>
        <v/>
      </c>
      <c r="AQ28" s="218" t="str">
        <f t="shared" si="14"/>
        <v/>
      </c>
    </row>
    <row r="29" spans="1:44" ht="18" customHeight="1" x14ac:dyDescent="0.35">
      <c r="A29" s="127"/>
      <c r="B29" s="128"/>
      <c r="C29" s="128"/>
      <c r="D29" s="128"/>
      <c r="E29" s="129"/>
      <c r="F29" s="129"/>
      <c r="G29" s="129"/>
      <c r="H29" s="129"/>
      <c r="I29" s="129"/>
      <c r="J29" s="129"/>
      <c r="K29" s="129"/>
      <c r="L29" s="123"/>
      <c r="M29" s="123"/>
      <c r="N29" s="40"/>
      <c r="O29" s="40"/>
      <c r="P29" s="40"/>
      <c r="Q29" s="39" t="str">
        <f t="shared" si="16"/>
        <v/>
      </c>
      <c r="R29" s="38" t="str">
        <f t="shared" si="17"/>
        <v/>
      </c>
      <c r="S29" s="38" t="str">
        <f t="shared" si="18"/>
        <v/>
      </c>
      <c r="T29" s="147">
        <v>259.72000000000003</v>
      </c>
      <c r="U29" s="147">
        <v>560.52</v>
      </c>
      <c r="V29" s="147">
        <v>611.41999999999996</v>
      </c>
      <c r="W29" s="38" t="str">
        <f t="shared" si="10"/>
        <v/>
      </c>
      <c r="X29" s="217" t="str">
        <f>IF(E29="","",IF(R29&gt;0,MIN(Att1SmallCarriers[[#This Row],[2023 Maximum Government Contribution
Self+1]],ROUND(R29*0.75,2)),"New Option"))</f>
        <v/>
      </c>
      <c r="Y29" s="217" t="str">
        <f>IF(E29="","",IF(S29&gt;0,MIN(Att1SmallCarriers[[#This Row],[2023 Maximum Government Contribution
Family]],ROUND(S29*0.75,2)),"New Option"))</f>
        <v/>
      </c>
      <c r="Z29" s="38" t="str">
        <f t="shared" si="3"/>
        <v/>
      </c>
      <c r="AA29" s="38" t="str">
        <f t="shared" si="4"/>
        <v/>
      </c>
      <c r="AB29" s="38" t="str">
        <f t="shared" si="5"/>
        <v/>
      </c>
      <c r="AC29" s="38" t="str">
        <f t="shared" si="6"/>
        <v/>
      </c>
      <c r="AD29" s="38" t="str">
        <f t="shared" si="7"/>
        <v/>
      </c>
      <c r="AE29" s="38" t="str">
        <f t="shared" si="8"/>
        <v/>
      </c>
      <c r="AF29" s="89">
        <f>ROUND(Att1SmallCarriers[[#This Row],[2023 Maximum Government Contribution
Self]]*(1+$B$14),2)</f>
        <v>259.72000000000003</v>
      </c>
      <c r="AG29" s="89">
        <f>ROUND(Att1SmallCarriers[[#This Row],[2023 Maximum Government Contribution
Self+1]]*(1+$B$14),2)</f>
        <v>560.52</v>
      </c>
      <c r="AH29" s="89">
        <f>ROUND(Att1SmallCarriers[[#This Row],[2023 Maximum Government Contribution
Family]]*(1+$B$14),2)</f>
        <v>611.41999999999996</v>
      </c>
      <c r="AI29" s="217" t="str">
        <f>IF(E29="","",MIN(Att1SmallCarriers[[#This Row],[ESTIMATED 2024 Maximum Government Contribution
Self]],ROUND(AC29*0.75,2)))</f>
        <v/>
      </c>
      <c r="AJ29" s="217" t="str">
        <f>IF(E29="","",MIN(Att1SmallCarriers[[#This Row],[ESTIMATED 2024 Maximum Government Contribution
Self+1]],ROUND(AD29*0.75,2)))</f>
        <v/>
      </c>
      <c r="AK29" s="217" t="str">
        <f>IF(E29="","",MIN(Att1SmallCarriers[[#This Row],[ESTIMATED 2024 Maximum Government Contribution
Family]],ROUND(AE29*0.75,2)))</f>
        <v/>
      </c>
      <c r="AL29" s="38" t="str">
        <f t="shared" si="9"/>
        <v/>
      </c>
      <c r="AM29" s="38" t="str">
        <f t="shared" si="11"/>
        <v/>
      </c>
      <c r="AN29" s="38" t="str">
        <f t="shared" si="15"/>
        <v/>
      </c>
      <c r="AO29" s="218" t="str">
        <f t="shared" si="12"/>
        <v/>
      </c>
      <c r="AP29" s="218" t="str">
        <f t="shared" si="13"/>
        <v/>
      </c>
      <c r="AQ29" s="218" t="str">
        <f t="shared" si="14"/>
        <v/>
      </c>
    </row>
    <row r="30" spans="1:44" ht="18" customHeight="1" x14ac:dyDescent="0.35">
      <c r="A30" s="128"/>
      <c r="B30" s="128"/>
      <c r="C30" s="128"/>
      <c r="D30" s="128"/>
      <c r="E30" s="129"/>
      <c r="F30" s="129"/>
      <c r="G30" s="129"/>
      <c r="H30" s="129"/>
      <c r="I30" s="129"/>
      <c r="J30" s="129"/>
      <c r="K30" s="129"/>
      <c r="L30" s="126"/>
      <c r="M30" s="126"/>
      <c r="N30" s="40"/>
      <c r="O30" s="40"/>
      <c r="P30" s="40"/>
      <c r="Q30" s="39" t="str">
        <f t="shared" si="16"/>
        <v/>
      </c>
      <c r="R30" s="38" t="str">
        <f t="shared" si="17"/>
        <v/>
      </c>
      <c r="S30" s="38" t="str">
        <f t="shared" si="18"/>
        <v/>
      </c>
      <c r="T30" s="147">
        <v>259.72000000000003</v>
      </c>
      <c r="U30" s="147">
        <v>560.52</v>
      </c>
      <c r="V30" s="147">
        <v>611.41999999999996</v>
      </c>
      <c r="W30" s="38" t="str">
        <f t="shared" si="10"/>
        <v/>
      </c>
      <c r="X30" s="217" t="str">
        <f>IF(E30="","",IF(R30&gt;0,MIN(Att1SmallCarriers[[#This Row],[2023 Maximum Government Contribution
Self+1]],ROUND(R30*0.75,2)),"New Option"))</f>
        <v/>
      </c>
      <c r="Y30" s="217" t="str">
        <f>IF(E30="","",IF(S30&gt;0,MIN(Att1SmallCarriers[[#This Row],[2023 Maximum Government Contribution
Family]],ROUND(S30*0.75,2)),"New Option"))</f>
        <v/>
      </c>
      <c r="Z30" s="38" t="str">
        <f t="shared" si="3"/>
        <v/>
      </c>
      <c r="AA30" s="38" t="str">
        <f t="shared" si="4"/>
        <v/>
      </c>
      <c r="AB30" s="38" t="str">
        <f t="shared" si="5"/>
        <v/>
      </c>
      <c r="AC30" s="38" t="str">
        <f t="shared" si="6"/>
        <v/>
      </c>
      <c r="AD30" s="38" t="str">
        <f t="shared" si="7"/>
        <v/>
      </c>
      <c r="AE30" s="38" t="str">
        <f t="shared" si="8"/>
        <v/>
      </c>
      <c r="AF30" s="89">
        <f>ROUND(Att1SmallCarriers[[#This Row],[2023 Maximum Government Contribution
Self]]*(1+$B$14),2)</f>
        <v>259.72000000000003</v>
      </c>
      <c r="AG30" s="89">
        <f>ROUND(Att1SmallCarriers[[#This Row],[2023 Maximum Government Contribution
Self+1]]*(1+$B$14),2)</f>
        <v>560.52</v>
      </c>
      <c r="AH30" s="89">
        <f>ROUND(Att1SmallCarriers[[#This Row],[2023 Maximum Government Contribution
Family]]*(1+$B$14),2)</f>
        <v>611.41999999999996</v>
      </c>
      <c r="AI30" s="217" t="str">
        <f>IF(E30="","",MIN(Att1SmallCarriers[[#This Row],[ESTIMATED 2024 Maximum Government Contribution
Self]],ROUND(AC30*0.75,2)))</f>
        <v/>
      </c>
      <c r="AJ30" s="217" t="str">
        <f>IF(E30="","",MIN(Att1SmallCarriers[[#This Row],[ESTIMATED 2024 Maximum Government Contribution
Self+1]],ROUND(AD30*0.75,2)))</f>
        <v/>
      </c>
      <c r="AK30" s="217" t="str">
        <f>IF(E30="","",MIN(Att1SmallCarriers[[#This Row],[ESTIMATED 2024 Maximum Government Contribution
Family]],ROUND(AE30*0.75,2)))</f>
        <v/>
      </c>
      <c r="AL30" s="38" t="str">
        <f t="shared" si="9"/>
        <v/>
      </c>
      <c r="AM30" s="38" t="str">
        <f t="shared" si="11"/>
        <v/>
      </c>
      <c r="AN30" s="38" t="str">
        <f t="shared" si="15"/>
        <v/>
      </c>
      <c r="AO30" s="218" t="str">
        <f t="shared" si="12"/>
        <v/>
      </c>
      <c r="AP30" s="218" t="str">
        <f t="shared" si="13"/>
        <v/>
      </c>
      <c r="AQ30" s="218" t="str">
        <f t="shared" si="14"/>
        <v/>
      </c>
    </row>
    <row r="31" spans="1:44" ht="18" customHeight="1" x14ac:dyDescent="0.35">
      <c r="A31" s="124"/>
      <c r="B31" s="124"/>
      <c r="C31" s="124"/>
      <c r="D31" s="124"/>
      <c r="E31" s="125"/>
      <c r="F31" s="125"/>
      <c r="G31" s="125"/>
      <c r="H31" s="125"/>
      <c r="I31" s="125"/>
      <c r="J31" s="125"/>
      <c r="K31" s="125"/>
      <c r="L31" s="126"/>
      <c r="M31" s="126"/>
      <c r="N31" s="40"/>
      <c r="O31" s="40"/>
      <c r="P31" s="40"/>
      <c r="Q31" s="39" t="str">
        <f t="shared" si="16"/>
        <v/>
      </c>
      <c r="R31" s="38" t="str">
        <f t="shared" si="17"/>
        <v/>
      </c>
      <c r="S31" s="38" t="str">
        <f t="shared" si="18"/>
        <v/>
      </c>
      <c r="T31" s="147">
        <v>259.72000000000003</v>
      </c>
      <c r="U31" s="147">
        <v>560.52</v>
      </c>
      <c r="V31" s="147">
        <v>611.41999999999996</v>
      </c>
      <c r="W31" s="38" t="str">
        <f t="shared" si="10"/>
        <v/>
      </c>
      <c r="X31" s="217" t="str">
        <f>IF(E31="","",IF(R31&gt;0,MIN(Att1SmallCarriers[[#This Row],[2023 Maximum Government Contribution
Self+1]],ROUND(R31*0.75,2)),"New Option"))</f>
        <v/>
      </c>
      <c r="Y31" s="217" t="str">
        <f>IF(E31="","",IF(S31&gt;0,MIN(Att1SmallCarriers[[#This Row],[2023 Maximum Government Contribution
Family]],ROUND(S31*0.75,2)),"New Option"))</f>
        <v/>
      </c>
      <c r="Z31" s="38" t="str">
        <f t="shared" si="3"/>
        <v/>
      </c>
      <c r="AA31" s="38" t="str">
        <f t="shared" si="4"/>
        <v/>
      </c>
      <c r="AB31" s="38" t="str">
        <f t="shared" si="5"/>
        <v/>
      </c>
      <c r="AC31" s="38" t="str">
        <f t="shared" si="6"/>
        <v/>
      </c>
      <c r="AD31" s="38" t="str">
        <f t="shared" si="7"/>
        <v/>
      </c>
      <c r="AE31" s="38" t="str">
        <f t="shared" si="8"/>
        <v/>
      </c>
      <c r="AF31" s="89">
        <f>ROUND(Att1SmallCarriers[[#This Row],[2023 Maximum Government Contribution
Self]]*(1+$B$14),2)</f>
        <v>259.72000000000003</v>
      </c>
      <c r="AG31" s="89">
        <f>ROUND(Att1SmallCarriers[[#This Row],[2023 Maximum Government Contribution
Self+1]]*(1+$B$14),2)</f>
        <v>560.52</v>
      </c>
      <c r="AH31" s="89">
        <f>ROUND(Att1SmallCarriers[[#This Row],[2023 Maximum Government Contribution
Family]]*(1+$B$14),2)</f>
        <v>611.41999999999996</v>
      </c>
      <c r="AI31" s="217" t="str">
        <f>IF(E31="","",MIN(Att1SmallCarriers[[#This Row],[ESTIMATED 2024 Maximum Government Contribution
Self]],ROUND(AC31*0.75,2)))</f>
        <v/>
      </c>
      <c r="AJ31" s="217" t="str">
        <f>IF(E31="","",MIN(Att1SmallCarriers[[#This Row],[ESTIMATED 2024 Maximum Government Contribution
Self+1]],ROUND(AD31*0.75,2)))</f>
        <v/>
      </c>
      <c r="AK31" s="217" t="str">
        <f>IF(E31="","",MIN(Att1SmallCarriers[[#This Row],[ESTIMATED 2024 Maximum Government Contribution
Family]],ROUND(AE31*0.75,2)))</f>
        <v/>
      </c>
      <c r="AL31" s="38" t="str">
        <f t="shared" si="9"/>
        <v/>
      </c>
      <c r="AM31" s="38" t="str">
        <f t="shared" si="11"/>
        <v/>
      </c>
      <c r="AN31" s="38" t="str">
        <f t="shared" si="15"/>
        <v/>
      </c>
      <c r="AO31" s="218" t="str">
        <f t="shared" si="12"/>
        <v/>
      </c>
      <c r="AP31" s="218" t="str">
        <f t="shared" si="13"/>
        <v/>
      </c>
      <c r="AQ31" s="218" t="str">
        <f t="shared" si="14"/>
        <v/>
      </c>
    </row>
    <row r="32" spans="1:44" ht="18" customHeight="1" x14ac:dyDescent="0.35">
      <c r="A32" s="124"/>
      <c r="B32" s="124"/>
      <c r="C32" s="124"/>
      <c r="D32" s="124"/>
      <c r="E32" s="125"/>
      <c r="F32" s="125"/>
      <c r="G32" s="125"/>
      <c r="H32" s="125"/>
      <c r="I32" s="125"/>
      <c r="J32" s="125"/>
      <c r="K32" s="125"/>
      <c r="L32" s="126"/>
      <c r="M32" s="126"/>
      <c r="N32" s="40"/>
      <c r="O32" s="40"/>
      <c r="P32" s="40"/>
      <c r="Q32" s="39" t="str">
        <f t="shared" si="16"/>
        <v/>
      </c>
      <c r="R32" s="38" t="str">
        <f t="shared" si="17"/>
        <v/>
      </c>
      <c r="S32" s="38" t="str">
        <f t="shared" si="18"/>
        <v/>
      </c>
      <c r="T32" s="147">
        <v>259.72000000000003</v>
      </c>
      <c r="U32" s="147">
        <v>560.52</v>
      </c>
      <c r="V32" s="147">
        <v>611.41999999999996</v>
      </c>
      <c r="W32" s="38" t="str">
        <f t="shared" si="10"/>
        <v/>
      </c>
      <c r="X32" s="217" t="str">
        <f>IF(E32="","",IF(R32&gt;0,MIN(Att1SmallCarriers[[#This Row],[2023 Maximum Government Contribution
Self+1]],ROUND(R32*0.75,2)),"New Option"))</f>
        <v/>
      </c>
      <c r="Y32" s="217" t="str">
        <f>IF(E32="","",IF(S32&gt;0,MIN(Att1SmallCarriers[[#This Row],[2023 Maximum Government Contribution
Family]],ROUND(S32*0.75,2)),"New Option"))</f>
        <v/>
      </c>
      <c r="Z32" s="38" t="str">
        <f t="shared" si="3"/>
        <v/>
      </c>
      <c r="AA32" s="38" t="str">
        <f t="shared" si="4"/>
        <v/>
      </c>
      <c r="AB32" s="38" t="str">
        <f t="shared" si="5"/>
        <v/>
      </c>
      <c r="AC32" s="38" t="str">
        <f t="shared" si="6"/>
        <v/>
      </c>
      <c r="AD32" s="38" t="str">
        <f t="shared" si="7"/>
        <v/>
      </c>
      <c r="AE32" s="38" t="str">
        <f t="shared" si="8"/>
        <v/>
      </c>
      <c r="AF32" s="89">
        <f>ROUND(Att1SmallCarriers[[#This Row],[2023 Maximum Government Contribution
Self]]*(1+$B$14),2)</f>
        <v>259.72000000000003</v>
      </c>
      <c r="AG32" s="89">
        <f>ROUND(Att1SmallCarriers[[#This Row],[2023 Maximum Government Contribution
Self+1]]*(1+$B$14),2)</f>
        <v>560.52</v>
      </c>
      <c r="AH32" s="89">
        <f>ROUND(Att1SmallCarriers[[#This Row],[2023 Maximum Government Contribution
Family]]*(1+$B$14),2)</f>
        <v>611.41999999999996</v>
      </c>
      <c r="AI32" s="217" t="str">
        <f>IF(E32="","",MIN(Att1SmallCarriers[[#This Row],[ESTIMATED 2024 Maximum Government Contribution
Self]],ROUND(AC32*0.75,2)))</f>
        <v/>
      </c>
      <c r="AJ32" s="217" t="str">
        <f>IF(E32="","",MIN(Att1SmallCarriers[[#This Row],[ESTIMATED 2024 Maximum Government Contribution
Self+1]],ROUND(AD32*0.75,2)))</f>
        <v/>
      </c>
      <c r="AK32" s="217" t="str">
        <f>IF(E32="","",MIN(Att1SmallCarriers[[#This Row],[ESTIMATED 2024 Maximum Government Contribution
Family]],ROUND(AE32*0.75,2)))</f>
        <v/>
      </c>
      <c r="AL32" s="38" t="str">
        <f t="shared" si="9"/>
        <v/>
      </c>
      <c r="AM32" s="38" t="str">
        <f t="shared" si="11"/>
        <v/>
      </c>
      <c r="AN32" s="38" t="str">
        <f t="shared" si="15"/>
        <v/>
      </c>
      <c r="AO32" s="218" t="str">
        <f t="shared" si="12"/>
        <v/>
      </c>
      <c r="AP32" s="218" t="str">
        <f t="shared" si="13"/>
        <v/>
      </c>
      <c r="AQ32" s="218" t="str">
        <f t="shared" si="14"/>
        <v/>
      </c>
    </row>
    <row r="33" spans="1:43" ht="18" customHeight="1" x14ac:dyDescent="0.35">
      <c r="A33" s="124"/>
      <c r="B33" s="124"/>
      <c r="C33" s="124"/>
      <c r="D33" s="124"/>
      <c r="E33" s="125"/>
      <c r="F33" s="125"/>
      <c r="G33" s="125"/>
      <c r="H33" s="125"/>
      <c r="I33" s="125"/>
      <c r="J33" s="125"/>
      <c r="K33" s="125"/>
      <c r="L33" s="126"/>
      <c r="M33" s="126"/>
      <c r="N33" s="40"/>
      <c r="O33" s="40"/>
      <c r="P33" s="40"/>
      <c r="Q33" s="39" t="str">
        <f t="shared" si="16"/>
        <v/>
      </c>
      <c r="R33" s="38" t="str">
        <f t="shared" si="17"/>
        <v/>
      </c>
      <c r="S33" s="38" t="str">
        <f t="shared" si="18"/>
        <v/>
      </c>
      <c r="T33" s="147">
        <v>259.72000000000003</v>
      </c>
      <c r="U33" s="147">
        <v>560.52</v>
      </c>
      <c r="V33" s="147">
        <v>611.41999999999996</v>
      </c>
      <c r="W33" s="38" t="str">
        <f t="shared" si="10"/>
        <v/>
      </c>
      <c r="X33" s="217" t="str">
        <f>IF(E33="","",IF(R33&gt;0,MIN(Att1SmallCarriers[[#This Row],[2023 Maximum Government Contribution
Self+1]],ROUND(R33*0.75,2)),"New Option"))</f>
        <v/>
      </c>
      <c r="Y33" s="217" t="str">
        <f>IF(E33="","",IF(S33&gt;0,MIN(Att1SmallCarriers[[#This Row],[2023 Maximum Government Contribution
Family]],ROUND(S33*0.75,2)),"New Option"))</f>
        <v/>
      </c>
      <c r="Z33" s="38" t="str">
        <f t="shared" si="3"/>
        <v/>
      </c>
      <c r="AA33" s="38" t="str">
        <f t="shared" si="4"/>
        <v/>
      </c>
      <c r="AB33" s="38" t="str">
        <f t="shared" si="5"/>
        <v/>
      </c>
      <c r="AC33" s="38" t="str">
        <f t="shared" si="6"/>
        <v/>
      </c>
      <c r="AD33" s="38" t="str">
        <f t="shared" si="7"/>
        <v/>
      </c>
      <c r="AE33" s="38" t="str">
        <f t="shared" si="8"/>
        <v/>
      </c>
      <c r="AF33" s="89">
        <f>ROUND(Att1SmallCarriers[[#This Row],[2023 Maximum Government Contribution
Self]]*(1+$B$14),2)</f>
        <v>259.72000000000003</v>
      </c>
      <c r="AG33" s="89">
        <f>ROUND(Att1SmallCarriers[[#This Row],[2023 Maximum Government Contribution
Self+1]]*(1+$B$14),2)</f>
        <v>560.52</v>
      </c>
      <c r="AH33" s="89">
        <f>ROUND(Att1SmallCarriers[[#This Row],[2023 Maximum Government Contribution
Family]]*(1+$B$14),2)</f>
        <v>611.41999999999996</v>
      </c>
      <c r="AI33" s="217" t="str">
        <f>IF(E33="","",MIN(Att1SmallCarriers[[#This Row],[ESTIMATED 2024 Maximum Government Contribution
Self]],ROUND(AC33*0.75,2)))</f>
        <v/>
      </c>
      <c r="AJ33" s="217" t="str">
        <f>IF(E33="","",MIN(Att1SmallCarriers[[#This Row],[ESTIMATED 2024 Maximum Government Contribution
Self+1]],ROUND(AD33*0.75,2)))</f>
        <v/>
      </c>
      <c r="AK33" s="217" t="str">
        <f>IF(E33="","",MIN(Att1SmallCarriers[[#This Row],[ESTIMATED 2024 Maximum Government Contribution
Family]],ROUND(AE33*0.75,2)))</f>
        <v/>
      </c>
      <c r="AL33" s="38" t="str">
        <f t="shared" si="9"/>
        <v/>
      </c>
      <c r="AM33" s="38" t="str">
        <f t="shared" si="11"/>
        <v/>
      </c>
      <c r="AN33" s="38" t="str">
        <f t="shared" si="15"/>
        <v/>
      </c>
      <c r="AO33" s="218" t="str">
        <f t="shared" si="12"/>
        <v/>
      </c>
      <c r="AP33" s="218" t="str">
        <f t="shared" si="13"/>
        <v/>
      </c>
      <c r="AQ33" s="218" t="str">
        <f t="shared" si="14"/>
        <v/>
      </c>
    </row>
    <row r="34" spans="1:43" ht="18" customHeight="1" x14ac:dyDescent="0.35">
      <c r="A34" s="124"/>
      <c r="B34" s="124"/>
      <c r="C34" s="124"/>
      <c r="D34" s="124"/>
      <c r="E34" s="125"/>
      <c r="F34" s="125"/>
      <c r="G34" s="125"/>
      <c r="H34" s="125"/>
      <c r="I34" s="125"/>
      <c r="J34" s="125"/>
      <c r="K34" s="125"/>
      <c r="L34" s="126"/>
      <c r="M34" s="126"/>
      <c r="N34" s="40"/>
      <c r="O34" s="40"/>
      <c r="P34" s="40"/>
      <c r="Q34" s="39" t="str">
        <f t="shared" si="16"/>
        <v/>
      </c>
      <c r="R34" s="38" t="str">
        <f t="shared" si="17"/>
        <v/>
      </c>
      <c r="S34" s="38" t="str">
        <f t="shared" si="18"/>
        <v/>
      </c>
      <c r="T34" s="147">
        <v>259.72000000000003</v>
      </c>
      <c r="U34" s="147">
        <v>560.52</v>
      </c>
      <c r="V34" s="147">
        <v>611.41999999999996</v>
      </c>
      <c r="W34" s="38" t="str">
        <f>IF(E34="","",IF(Q34&gt;0,MIN(T34,ROUND(Q34*0.75,2)),"New Option"))</f>
        <v/>
      </c>
      <c r="X34" s="217" t="str">
        <f>IF(E34="","",IF(R34&gt;0,MIN(Att1SmallCarriers[[#This Row],[2023 Maximum Government Contribution
Self+1]],ROUND(R34*0.75,2)),"New Option"))</f>
        <v/>
      </c>
      <c r="Y34" s="217" t="str">
        <f>IF(E34="","",IF(S34&gt;0,MIN(Att1SmallCarriers[[#This Row],[2023 Maximum Government Contribution
Family]],ROUND(S34*0.75,2)),"New Option"))</f>
        <v/>
      </c>
      <c r="Z34" s="38" t="str">
        <f t="shared" si="3"/>
        <v/>
      </c>
      <c r="AA34" s="38" t="str">
        <f t="shared" si="4"/>
        <v/>
      </c>
      <c r="AB34" s="38" t="str">
        <f t="shared" si="5"/>
        <v/>
      </c>
      <c r="AC34" s="38" t="str">
        <f t="shared" si="6"/>
        <v/>
      </c>
      <c r="AD34" s="38" t="str">
        <f t="shared" si="7"/>
        <v/>
      </c>
      <c r="AE34" s="38" t="str">
        <f t="shared" si="8"/>
        <v/>
      </c>
      <c r="AF34" s="89">
        <f>ROUND(Att1SmallCarriers[[#This Row],[2023 Maximum Government Contribution
Self]]*(1+$B$14),2)</f>
        <v>259.72000000000003</v>
      </c>
      <c r="AG34" s="89">
        <f>ROUND(Att1SmallCarriers[[#This Row],[2023 Maximum Government Contribution
Self+1]]*(1+$B$14),2)</f>
        <v>560.52</v>
      </c>
      <c r="AH34" s="89">
        <f>ROUND(Att1SmallCarriers[[#This Row],[2023 Maximum Government Contribution
Family]]*(1+$B$14),2)</f>
        <v>611.41999999999996</v>
      </c>
      <c r="AI34" s="217" t="str">
        <f>IF(E34="","",MIN(Att1SmallCarriers[[#This Row],[ESTIMATED 2024 Maximum Government Contribution
Self]],ROUND(AC34*0.75,2)))</f>
        <v/>
      </c>
      <c r="AJ34" s="217" t="str">
        <f>IF(E34="","",MIN(Att1SmallCarriers[[#This Row],[ESTIMATED 2024 Maximum Government Contribution
Self+1]],ROUND(AD34*0.75,2)))</f>
        <v/>
      </c>
      <c r="AK34" s="217" t="str">
        <f>IF(E34="","",MIN(Att1SmallCarriers[[#This Row],[ESTIMATED 2024 Maximum Government Contribution
Family]],ROUND(AE34*0.75,2)))</f>
        <v/>
      </c>
      <c r="AL34" s="38" t="str">
        <f t="shared" si="9"/>
        <v/>
      </c>
      <c r="AM34" s="38" t="str">
        <f t="shared" si="11"/>
        <v/>
      </c>
      <c r="AN34" s="38" t="str">
        <f t="shared" si="15"/>
        <v/>
      </c>
      <c r="AO34" s="218" t="str">
        <f t="shared" si="12"/>
        <v/>
      </c>
      <c r="AP34" s="218" t="str">
        <f t="shared" si="13"/>
        <v/>
      </c>
      <c r="AQ34" s="218" t="str">
        <f t="shared" si="14"/>
        <v/>
      </c>
    </row>
    <row r="35" spans="1:43" ht="18" customHeight="1" x14ac:dyDescent="0.35">
      <c r="A35" s="121"/>
      <c r="B35" s="121"/>
      <c r="C35" s="121"/>
      <c r="D35" s="121"/>
      <c r="E35" s="122"/>
      <c r="F35" s="122"/>
      <c r="G35" s="122"/>
      <c r="H35" s="122"/>
      <c r="I35" s="122"/>
      <c r="J35" s="122"/>
      <c r="K35" s="122"/>
      <c r="L35" s="126"/>
      <c r="M35" s="126"/>
      <c r="N35" s="40"/>
      <c r="O35" s="40"/>
      <c r="P35" s="40"/>
      <c r="Q35" s="39" t="str">
        <f t="shared" si="16"/>
        <v/>
      </c>
      <c r="R35" s="38" t="str">
        <f t="shared" si="17"/>
        <v/>
      </c>
      <c r="S35" s="38" t="str">
        <f t="shared" si="18"/>
        <v/>
      </c>
      <c r="T35" s="147">
        <v>259.72000000000003</v>
      </c>
      <c r="U35" s="147">
        <v>560.52</v>
      </c>
      <c r="V35" s="147">
        <v>611.41999999999996</v>
      </c>
      <c r="W35" s="38" t="str">
        <f t="shared" si="10"/>
        <v/>
      </c>
      <c r="X35" s="217" t="str">
        <f>IF(E35="","",IF(R35&gt;0,MIN(Att1SmallCarriers[[#This Row],[2023 Maximum Government Contribution
Self+1]],ROUND(R35*0.75,2)),"New Option"))</f>
        <v/>
      </c>
      <c r="Y35" s="217" t="str">
        <f>IF(E35="","",IF(S35&gt;0,MIN(Att1SmallCarriers[[#This Row],[2023 Maximum Government Contribution
Family]],ROUND(S35*0.75,2)),"New Option"))</f>
        <v/>
      </c>
      <c r="Z35" s="38" t="str">
        <f t="shared" si="3"/>
        <v/>
      </c>
      <c r="AA35" s="38" t="str">
        <f t="shared" si="4"/>
        <v/>
      </c>
      <c r="AB35" s="38" t="str">
        <f t="shared" si="5"/>
        <v/>
      </c>
      <c r="AC35" s="38" t="str">
        <f t="shared" si="6"/>
        <v/>
      </c>
      <c r="AD35" s="38" t="str">
        <f t="shared" si="7"/>
        <v/>
      </c>
      <c r="AE35" s="38" t="str">
        <f t="shared" si="8"/>
        <v/>
      </c>
      <c r="AF35" s="89">
        <f>ROUND(Att1SmallCarriers[[#This Row],[2023 Maximum Government Contribution
Self]]*(1+$B$14),2)</f>
        <v>259.72000000000003</v>
      </c>
      <c r="AG35" s="89">
        <f>ROUND(Att1SmallCarriers[[#This Row],[2023 Maximum Government Contribution
Self+1]]*(1+$B$14),2)</f>
        <v>560.52</v>
      </c>
      <c r="AH35" s="89">
        <f>ROUND(Att1SmallCarriers[[#This Row],[2023 Maximum Government Contribution
Family]]*(1+$B$14),2)</f>
        <v>611.41999999999996</v>
      </c>
      <c r="AI35" s="217" t="str">
        <f>IF(E35="","",MIN(Att1SmallCarriers[[#This Row],[ESTIMATED 2024 Maximum Government Contribution
Self]],ROUND(AC35*0.75,2)))</f>
        <v/>
      </c>
      <c r="AJ35" s="217" t="str">
        <f>IF(E35="","",MIN(Att1SmallCarriers[[#This Row],[ESTIMATED 2024 Maximum Government Contribution
Self+1]],ROUND(AD35*0.75,2)))</f>
        <v/>
      </c>
      <c r="AK35" s="217" t="str">
        <f>IF(E35="","",MIN(Att1SmallCarriers[[#This Row],[ESTIMATED 2024 Maximum Government Contribution
Family]],ROUND(AE35*0.75,2)))</f>
        <v/>
      </c>
      <c r="AL35" s="38" t="str">
        <f t="shared" si="9"/>
        <v/>
      </c>
      <c r="AM35" s="38" t="str">
        <f t="shared" si="11"/>
        <v/>
      </c>
      <c r="AN35" s="38" t="str">
        <f t="shared" si="15"/>
        <v/>
      </c>
      <c r="AO35" s="218" t="str">
        <f t="shared" si="12"/>
        <v/>
      </c>
      <c r="AP35" s="218" t="str">
        <f t="shared" si="13"/>
        <v/>
      </c>
      <c r="AQ35" s="218" t="str">
        <f t="shared" si="14"/>
        <v/>
      </c>
    </row>
    <row r="36" spans="1:43" ht="18" customHeight="1" x14ac:dyDescent="0.35">
      <c r="A36" s="127"/>
      <c r="B36" s="128"/>
      <c r="C36" s="128"/>
      <c r="D36" s="128"/>
      <c r="E36" s="129"/>
      <c r="F36" s="129"/>
      <c r="G36" s="129"/>
      <c r="H36" s="129"/>
      <c r="I36" s="129"/>
      <c r="J36" s="129"/>
      <c r="K36" s="129"/>
      <c r="L36" s="130"/>
      <c r="M36" s="130"/>
      <c r="N36" s="40"/>
      <c r="O36" s="40"/>
      <c r="P36" s="40"/>
      <c r="Q36" s="39" t="str">
        <f t="shared" si="16"/>
        <v/>
      </c>
      <c r="R36" s="38" t="str">
        <f t="shared" si="17"/>
        <v/>
      </c>
      <c r="S36" s="38" t="str">
        <f t="shared" si="18"/>
        <v/>
      </c>
      <c r="T36" s="147">
        <v>259.72000000000003</v>
      </c>
      <c r="U36" s="147">
        <v>560.52</v>
      </c>
      <c r="V36" s="147">
        <v>611.41999999999996</v>
      </c>
      <c r="W36" s="38" t="str">
        <f t="shared" si="10"/>
        <v/>
      </c>
      <c r="X36" s="217" t="str">
        <f>IF(E36="","",IF(R36&gt;0,MIN(Att1SmallCarriers[[#This Row],[2023 Maximum Government Contribution
Self+1]],ROUND(R36*0.75,2)),"New Option"))</f>
        <v/>
      </c>
      <c r="Y36" s="217" t="str">
        <f>IF(E36="","",IF(S36&gt;0,MIN(Att1SmallCarriers[[#This Row],[2023 Maximum Government Contribution
Family]],ROUND(S36*0.75,2)),"New Option"))</f>
        <v/>
      </c>
      <c r="Z36" s="38" t="str">
        <f t="shared" si="3"/>
        <v/>
      </c>
      <c r="AA36" s="38" t="str">
        <f t="shared" si="4"/>
        <v/>
      </c>
      <c r="AB36" s="38" t="str">
        <f t="shared" si="5"/>
        <v/>
      </c>
      <c r="AC36" s="38" t="str">
        <f t="shared" si="6"/>
        <v/>
      </c>
      <c r="AD36" s="38" t="str">
        <f t="shared" si="7"/>
        <v/>
      </c>
      <c r="AE36" s="38" t="str">
        <f t="shared" si="8"/>
        <v/>
      </c>
      <c r="AF36" s="89">
        <f>ROUND(Att1SmallCarriers[[#This Row],[2023 Maximum Government Contribution
Self]]*(1+$B$14),2)</f>
        <v>259.72000000000003</v>
      </c>
      <c r="AG36" s="89">
        <f>ROUND(Att1SmallCarriers[[#This Row],[2023 Maximum Government Contribution
Self+1]]*(1+$B$14),2)</f>
        <v>560.52</v>
      </c>
      <c r="AH36" s="89">
        <f>ROUND(Att1SmallCarriers[[#This Row],[2023 Maximum Government Contribution
Family]]*(1+$B$14),2)</f>
        <v>611.41999999999996</v>
      </c>
      <c r="AI36" s="217" t="str">
        <f>IF(E36="","",MIN(Att1SmallCarriers[[#This Row],[ESTIMATED 2024 Maximum Government Contribution
Self]],ROUND(AC36*0.75,2)))</f>
        <v/>
      </c>
      <c r="AJ36" s="217" t="str">
        <f>IF(E36="","",MIN(Att1SmallCarriers[[#This Row],[ESTIMATED 2024 Maximum Government Contribution
Self+1]],ROUND(AD36*0.75,2)))</f>
        <v/>
      </c>
      <c r="AK36" s="217" t="str">
        <f>IF(E36="","",MIN(Att1SmallCarriers[[#This Row],[ESTIMATED 2024 Maximum Government Contribution
Family]],ROUND(AE36*0.75,2)))</f>
        <v/>
      </c>
      <c r="AL36" s="38" t="str">
        <f>IF(E36="","",AC36-AI36)</f>
        <v/>
      </c>
      <c r="AM36" s="38" t="str">
        <f t="shared" si="11"/>
        <v/>
      </c>
      <c r="AN36" s="38" t="str">
        <f t="shared" si="15"/>
        <v/>
      </c>
      <c r="AO36" s="218" t="str">
        <f t="shared" si="12"/>
        <v/>
      </c>
      <c r="AP36" s="218" t="str">
        <f t="shared" si="13"/>
        <v/>
      </c>
      <c r="AQ36" s="218" t="str">
        <f t="shared" si="14"/>
        <v/>
      </c>
    </row>
    <row r="37" spans="1:43" ht="18" customHeight="1" x14ac:dyDescent="0.35">
      <c r="A37" s="124"/>
      <c r="B37" s="124"/>
      <c r="C37" s="124"/>
      <c r="D37" s="124"/>
      <c r="E37" s="125"/>
      <c r="F37" s="125"/>
      <c r="G37" s="125"/>
      <c r="H37" s="125"/>
      <c r="I37" s="125"/>
      <c r="J37" s="125"/>
      <c r="K37" s="125"/>
      <c r="L37" s="130"/>
      <c r="M37" s="130"/>
      <c r="N37" s="40"/>
      <c r="O37" s="40"/>
      <c r="P37" s="40"/>
      <c r="Q37" s="39" t="str">
        <f t="shared" si="16"/>
        <v/>
      </c>
      <c r="R37" s="38" t="str">
        <f t="shared" si="17"/>
        <v/>
      </c>
      <c r="S37" s="38" t="str">
        <f t="shared" si="18"/>
        <v/>
      </c>
      <c r="T37" s="147">
        <v>259.72000000000003</v>
      </c>
      <c r="U37" s="147">
        <v>560.52</v>
      </c>
      <c r="V37" s="147">
        <v>611.41999999999996</v>
      </c>
      <c r="W37" s="38" t="str">
        <f t="shared" si="10"/>
        <v/>
      </c>
      <c r="X37" s="217" t="str">
        <f>IF(E37="","",IF(R37&gt;0,MIN(Att1SmallCarriers[[#This Row],[2023 Maximum Government Contribution
Self+1]],ROUND(R37*0.75,2)),"New Option"))</f>
        <v/>
      </c>
      <c r="Y37" s="217" t="str">
        <f>IF(E37="","",IF(S37&gt;0,MIN(Att1SmallCarriers[[#This Row],[2023 Maximum Government Contribution
Family]],ROUND(S37*0.75,2)),"New Option"))</f>
        <v/>
      </c>
      <c r="Z37" s="38" t="str">
        <f t="shared" si="3"/>
        <v/>
      </c>
      <c r="AA37" s="38" t="str">
        <f t="shared" si="4"/>
        <v/>
      </c>
      <c r="AB37" s="38" t="str">
        <f t="shared" si="5"/>
        <v/>
      </c>
      <c r="AC37" s="38" t="str">
        <f t="shared" si="6"/>
        <v/>
      </c>
      <c r="AD37" s="38" t="str">
        <f t="shared" si="7"/>
        <v/>
      </c>
      <c r="AE37" s="38" t="str">
        <f t="shared" si="8"/>
        <v/>
      </c>
      <c r="AF37" s="89">
        <f>ROUND(Att1SmallCarriers[[#This Row],[2023 Maximum Government Contribution
Self]]*(1+$B$14),2)</f>
        <v>259.72000000000003</v>
      </c>
      <c r="AG37" s="89">
        <f>ROUND(Att1SmallCarriers[[#This Row],[2023 Maximum Government Contribution
Self+1]]*(1+$B$14),2)</f>
        <v>560.52</v>
      </c>
      <c r="AH37" s="89">
        <f>ROUND(Att1SmallCarriers[[#This Row],[2023 Maximum Government Contribution
Family]]*(1+$B$14),2)</f>
        <v>611.41999999999996</v>
      </c>
      <c r="AI37" s="217" t="str">
        <f>IF(E37="","",MIN(Att1SmallCarriers[[#This Row],[ESTIMATED 2024 Maximum Government Contribution
Self]],ROUND(AC37*0.75,2)))</f>
        <v/>
      </c>
      <c r="AJ37" s="217" t="str">
        <f>IF(E37="","",MIN(Att1SmallCarriers[[#This Row],[ESTIMATED 2024 Maximum Government Contribution
Self+1]],ROUND(AD37*0.75,2)))</f>
        <v/>
      </c>
      <c r="AK37" s="217" t="str">
        <f>IF(E37="","",MIN(Att1SmallCarriers[[#This Row],[ESTIMATED 2024 Maximum Government Contribution
Family]],ROUND(AE37*0.75,2)))</f>
        <v/>
      </c>
      <c r="AL37" s="38" t="str">
        <f t="shared" si="9"/>
        <v/>
      </c>
      <c r="AM37" s="38" t="str">
        <f t="shared" si="11"/>
        <v/>
      </c>
      <c r="AN37" s="38" t="str">
        <f t="shared" si="15"/>
        <v/>
      </c>
      <c r="AO37" s="218" t="str">
        <f t="shared" si="12"/>
        <v/>
      </c>
      <c r="AP37" s="218" t="str">
        <f t="shared" si="13"/>
        <v/>
      </c>
      <c r="AQ37" s="218" t="str">
        <f t="shared" si="14"/>
        <v/>
      </c>
    </row>
    <row r="38" spans="1:43" ht="18" customHeight="1" x14ac:dyDescent="0.35">
      <c r="A38" s="121"/>
      <c r="B38" s="121"/>
      <c r="C38" s="121"/>
      <c r="D38" s="121"/>
      <c r="E38" s="122"/>
      <c r="F38" s="122"/>
      <c r="G38" s="122"/>
      <c r="H38" s="122"/>
      <c r="I38" s="122"/>
      <c r="J38" s="122"/>
      <c r="K38" s="122"/>
      <c r="L38" s="130"/>
      <c r="M38" s="130"/>
      <c r="N38" s="40"/>
      <c r="O38" s="40"/>
      <c r="P38" s="40"/>
      <c r="Q38" s="39" t="str">
        <f t="shared" si="16"/>
        <v/>
      </c>
      <c r="R38" s="38" t="str">
        <f t="shared" si="17"/>
        <v/>
      </c>
      <c r="S38" s="38" t="str">
        <f t="shared" si="18"/>
        <v/>
      </c>
      <c r="T38" s="147">
        <v>259.72000000000003</v>
      </c>
      <c r="U38" s="147">
        <v>560.52</v>
      </c>
      <c r="V38" s="147">
        <v>611.41999999999996</v>
      </c>
      <c r="W38" s="38" t="str">
        <f t="shared" si="10"/>
        <v/>
      </c>
      <c r="X38" s="217" t="str">
        <f>IF(E38="","",IF(R38&gt;0,MIN(Att1SmallCarriers[[#This Row],[2023 Maximum Government Contribution
Self+1]],ROUND(R38*0.75,2)),"New Option"))</f>
        <v/>
      </c>
      <c r="Y38" s="217" t="str">
        <f>IF(E38="","",IF(S38&gt;0,MIN(Att1SmallCarriers[[#This Row],[2023 Maximum Government Contribution
Family]],ROUND(S38*0.75,2)),"New Option"))</f>
        <v/>
      </c>
      <c r="Z38" s="38" t="str">
        <f t="shared" si="3"/>
        <v/>
      </c>
      <c r="AA38" s="38" t="str">
        <f t="shared" si="4"/>
        <v/>
      </c>
      <c r="AB38" s="38" t="str">
        <f t="shared" si="5"/>
        <v/>
      </c>
      <c r="AC38" s="38" t="str">
        <f t="shared" si="6"/>
        <v/>
      </c>
      <c r="AD38" s="38" t="str">
        <f t="shared" si="7"/>
        <v/>
      </c>
      <c r="AE38" s="38" t="str">
        <f t="shared" si="8"/>
        <v/>
      </c>
      <c r="AF38" s="89">
        <f>ROUND(Att1SmallCarriers[[#This Row],[2023 Maximum Government Contribution
Self]]*(1+$B$14),2)</f>
        <v>259.72000000000003</v>
      </c>
      <c r="AG38" s="89">
        <f>ROUND(Att1SmallCarriers[[#This Row],[2023 Maximum Government Contribution
Self+1]]*(1+$B$14),2)</f>
        <v>560.52</v>
      </c>
      <c r="AH38" s="89">
        <f>ROUND(Att1SmallCarriers[[#This Row],[2023 Maximum Government Contribution
Family]]*(1+$B$14),2)</f>
        <v>611.41999999999996</v>
      </c>
      <c r="AI38" s="217" t="str">
        <f>IF(E38="","",MIN(Att1SmallCarriers[[#This Row],[ESTIMATED 2024 Maximum Government Contribution
Self]],ROUND(AC38*0.75,2)))</f>
        <v/>
      </c>
      <c r="AJ38" s="217" t="str">
        <f>IF(E38="","",MIN(Att1SmallCarriers[[#This Row],[ESTIMATED 2024 Maximum Government Contribution
Self+1]],ROUND(AD38*0.75,2)))</f>
        <v/>
      </c>
      <c r="AK38" s="217" t="str">
        <f>IF(E38="","",MIN(Att1SmallCarriers[[#This Row],[ESTIMATED 2024 Maximum Government Contribution
Family]],ROUND(AE38*0.75,2)))</f>
        <v/>
      </c>
      <c r="AL38" s="38" t="str">
        <f t="shared" si="9"/>
        <v/>
      </c>
      <c r="AM38" s="38" t="str">
        <f t="shared" si="11"/>
        <v/>
      </c>
      <c r="AN38" s="38" t="str">
        <f t="shared" si="15"/>
        <v/>
      </c>
      <c r="AO38" s="218" t="str">
        <f t="shared" si="12"/>
        <v/>
      </c>
      <c r="AP38" s="218" t="str">
        <f t="shared" si="13"/>
        <v/>
      </c>
      <c r="AQ38" s="218" t="str">
        <f t="shared" si="14"/>
        <v/>
      </c>
    </row>
    <row r="39" spans="1:43" ht="18" customHeight="1" x14ac:dyDescent="0.35">
      <c r="A39" s="128"/>
      <c r="B39" s="128"/>
      <c r="C39" s="128"/>
      <c r="D39" s="128"/>
      <c r="E39" s="129"/>
      <c r="F39" s="129"/>
      <c r="G39" s="129"/>
      <c r="H39" s="129"/>
      <c r="I39" s="129"/>
      <c r="J39" s="129"/>
      <c r="K39" s="129"/>
      <c r="L39" s="129"/>
      <c r="M39" s="129"/>
      <c r="N39" s="40"/>
      <c r="O39" s="40"/>
      <c r="P39" s="40"/>
      <c r="Q39" s="39" t="str">
        <f t="shared" si="16"/>
        <v/>
      </c>
      <c r="R39" s="38" t="str">
        <f t="shared" si="17"/>
        <v/>
      </c>
      <c r="S39" s="38" t="str">
        <f t="shared" si="18"/>
        <v/>
      </c>
      <c r="T39" s="147">
        <v>259.72000000000003</v>
      </c>
      <c r="U39" s="147">
        <v>560.52</v>
      </c>
      <c r="V39" s="147">
        <v>611.41999999999996</v>
      </c>
      <c r="W39" s="38" t="str">
        <f t="shared" si="10"/>
        <v/>
      </c>
      <c r="X39" s="217" t="str">
        <f>IF(E39="","",IF(R39&gt;0,MIN(Att1SmallCarriers[[#This Row],[2023 Maximum Government Contribution
Self+1]],ROUND(R39*0.75,2)),"New Option"))</f>
        <v/>
      </c>
      <c r="Y39" s="217" t="str">
        <f>IF(E39="","",IF(S39&gt;0,MIN(Att1SmallCarriers[[#This Row],[2023 Maximum Government Contribution
Family]],ROUND(S39*0.75,2)),"New Option"))</f>
        <v/>
      </c>
      <c r="Z39" s="38" t="str">
        <f t="shared" si="3"/>
        <v/>
      </c>
      <c r="AA39" s="38" t="str">
        <f t="shared" si="4"/>
        <v/>
      </c>
      <c r="AB39" s="38" t="str">
        <f t="shared" si="5"/>
        <v/>
      </c>
      <c r="AC39" s="38" t="str">
        <f t="shared" si="6"/>
        <v/>
      </c>
      <c r="AD39" s="38" t="str">
        <f t="shared" si="7"/>
        <v/>
      </c>
      <c r="AE39" s="38" t="str">
        <f t="shared" si="8"/>
        <v/>
      </c>
      <c r="AF39" s="89">
        <f>ROUND(Att1SmallCarriers[[#This Row],[2023 Maximum Government Contribution
Self]]*(1+$B$14),2)</f>
        <v>259.72000000000003</v>
      </c>
      <c r="AG39" s="89">
        <f>ROUND(Att1SmallCarriers[[#This Row],[2023 Maximum Government Contribution
Self+1]]*(1+$B$14),2)</f>
        <v>560.52</v>
      </c>
      <c r="AH39" s="89">
        <f>ROUND(Att1SmallCarriers[[#This Row],[2023 Maximum Government Contribution
Family]]*(1+$B$14),2)</f>
        <v>611.41999999999996</v>
      </c>
      <c r="AI39" s="217" t="str">
        <f>IF(E39="","",MIN(Att1SmallCarriers[[#This Row],[ESTIMATED 2024 Maximum Government Contribution
Self]],ROUND(AC39*0.75,2)))</f>
        <v/>
      </c>
      <c r="AJ39" s="217" t="str">
        <f>IF(E39="","",MIN(Att1SmallCarriers[[#This Row],[ESTIMATED 2024 Maximum Government Contribution
Self+1]],ROUND(AD39*0.75,2)))</f>
        <v/>
      </c>
      <c r="AK39" s="217" t="str">
        <f>IF(E39="","",MIN(Att1SmallCarriers[[#This Row],[ESTIMATED 2024 Maximum Government Contribution
Family]],ROUND(AE39*0.75,2)))</f>
        <v/>
      </c>
      <c r="AL39" s="38" t="str">
        <f t="shared" si="9"/>
        <v/>
      </c>
      <c r="AM39" s="38" t="str">
        <f t="shared" si="11"/>
        <v/>
      </c>
      <c r="AN39" s="38" t="str">
        <f t="shared" si="15"/>
        <v/>
      </c>
      <c r="AO39" s="218" t="str">
        <f t="shared" si="12"/>
        <v/>
      </c>
      <c r="AP39" s="218" t="str">
        <f t="shared" si="13"/>
        <v/>
      </c>
      <c r="AQ39" s="218" t="str">
        <f t="shared" si="14"/>
        <v/>
      </c>
    </row>
    <row r="40" spans="1:43" ht="18" customHeight="1" x14ac:dyDescent="0.35">
      <c r="A40" s="128"/>
      <c r="B40" s="128"/>
      <c r="C40" s="128"/>
      <c r="D40" s="128"/>
      <c r="E40" s="129"/>
      <c r="F40" s="129"/>
      <c r="G40" s="129"/>
      <c r="H40" s="129"/>
      <c r="I40" s="129"/>
      <c r="J40" s="129"/>
      <c r="K40" s="129"/>
      <c r="L40" s="129"/>
      <c r="M40" s="129"/>
      <c r="N40" s="40"/>
      <c r="O40" s="40"/>
      <c r="P40" s="40"/>
      <c r="Q40" s="39" t="str">
        <f t="shared" si="16"/>
        <v/>
      </c>
      <c r="R40" s="38" t="str">
        <f t="shared" si="17"/>
        <v/>
      </c>
      <c r="S40" s="38" t="str">
        <f t="shared" si="18"/>
        <v/>
      </c>
      <c r="T40" s="147">
        <v>259.72000000000003</v>
      </c>
      <c r="U40" s="147">
        <v>560.52</v>
      </c>
      <c r="V40" s="147">
        <v>611.41999999999996</v>
      </c>
      <c r="W40" s="38" t="str">
        <f t="shared" si="10"/>
        <v/>
      </c>
      <c r="X40" s="217" t="str">
        <f>IF(E40="","",IF(R40&gt;0,MIN(Att1SmallCarriers[[#This Row],[2023 Maximum Government Contribution
Self+1]],ROUND(R40*0.75,2)),"New Option"))</f>
        <v/>
      </c>
      <c r="Y40" s="217" t="str">
        <f>IF(E40="","",IF(S40&gt;0,MIN(Att1SmallCarriers[[#This Row],[2023 Maximum Government Contribution
Family]],ROUND(S40*0.75,2)),"New Option"))</f>
        <v/>
      </c>
      <c r="Z40" s="38" t="str">
        <f t="shared" si="3"/>
        <v/>
      </c>
      <c r="AA40" s="38" t="str">
        <f t="shared" si="4"/>
        <v/>
      </c>
      <c r="AB40" s="38" t="str">
        <f t="shared" si="5"/>
        <v/>
      </c>
      <c r="AC40" s="38" t="str">
        <f t="shared" si="6"/>
        <v/>
      </c>
      <c r="AD40" s="38" t="str">
        <f t="shared" si="7"/>
        <v/>
      </c>
      <c r="AE40" s="38" t="str">
        <f t="shared" si="8"/>
        <v/>
      </c>
      <c r="AF40" s="89">
        <f>ROUND(Att1SmallCarriers[[#This Row],[2023 Maximum Government Contribution
Self]]*(1+$B$14),2)</f>
        <v>259.72000000000003</v>
      </c>
      <c r="AG40" s="89">
        <f>ROUND(Att1SmallCarriers[[#This Row],[2023 Maximum Government Contribution
Self+1]]*(1+$B$14),2)</f>
        <v>560.52</v>
      </c>
      <c r="AH40" s="89">
        <f>ROUND(Att1SmallCarriers[[#This Row],[2023 Maximum Government Contribution
Family]]*(1+$B$14),2)</f>
        <v>611.41999999999996</v>
      </c>
      <c r="AI40" s="217" t="str">
        <f>IF(E40="","",MIN(Att1SmallCarriers[[#This Row],[ESTIMATED 2024 Maximum Government Contribution
Self]],ROUND(AC40*0.75,2)))</f>
        <v/>
      </c>
      <c r="AJ40" s="217" t="str">
        <f>IF(E40="","",MIN(Att1SmallCarriers[[#This Row],[ESTIMATED 2024 Maximum Government Contribution
Self+1]],ROUND(AD40*0.75,2)))</f>
        <v/>
      </c>
      <c r="AK40" s="217" t="str">
        <f>IF(E40="","",MIN(Att1SmallCarriers[[#This Row],[ESTIMATED 2024 Maximum Government Contribution
Family]],ROUND(AE40*0.75,2)))</f>
        <v/>
      </c>
      <c r="AL40" s="38" t="str">
        <f t="shared" si="9"/>
        <v/>
      </c>
      <c r="AM40" s="38" t="str">
        <f t="shared" si="11"/>
        <v/>
      </c>
      <c r="AN40" s="38" t="str">
        <f t="shared" si="15"/>
        <v/>
      </c>
      <c r="AO40" s="218" t="str">
        <f t="shared" si="12"/>
        <v/>
      </c>
      <c r="AP40" s="218" t="str">
        <f t="shared" si="13"/>
        <v/>
      </c>
      <c r="AQ40" s="218" t="str">
        <f t="shared" si="14"/>
        <v/>
      </c>
    </row>
    <row r="41" spans="1:43" ht="18" customHeight="1" x14ac:dyDescent="0.35">
      <c r="A41" s="121"/>
      <c r="B41" s="121"/>
      <c r="C41" s="121"/>
      <c r="D41" s="121"/>
      <c r="E41" s="122"/>
      <c r="F41" s="122"/>
      <c r="G41" s="122"/>
      <c r="H41" s="122"/>
      <c r="I41" s="122"/>
      <c r="J41" s="122"/>
      <c r="K41" s="122"/>
      <c r="L41" s="131"/>
      <c r="M41" s="131"/>
      <c r="N41" s="40"/>
      <c r="O41" s="40"/>
      <c r="P41" s="40"/>
      <c r="Q41" s="39" t="str">
        <f t="shared" si="16"/>
        <v/>
      </c>
      <c r="R41" s="38" t="str">
        <f t="shared" si="17"/>
        <v/>
      </c>
      <c r="S41" s="38" t="str">
        <f t="shared" si="18"/>
        <v/>
      </c>
      <c r="T41" s="147">
        <v>259.72000000000003</v>
      </c>
      <c r="U41" s="147">
        <v>560.52</v>
      </c>
      <c r="V41" s="147">
        <v>611.41999999999996</v>
      </c>
      <c r="W41" s="38" t="str">
        <f t="shared" si="10"/>
        <v/>
      </c>
      <c r="X41" s="217" t="str">
        <f>IF(E41="","",IF(R41&gt;0,MIN(Att1SmallCarriers[[#This Row],[2023 Maximum Government Contribution
Self+1]],ROUND(R41*0.75,2)),"New Option"))</f>
        <v/>
      </c>
      <c r="Y41" s="217" t="str">
        <f>IF(E41="","",IF(S41&gt;0,MIN(Att1SmallCarriers[[#This Row],[2023 Maximum Government Contribution
Family]],ROUND(S41*0.75,2)),"New Option"))</f>
        <v/>
      </c>
      <c r="Z41" s="38" t="str">
        <f t="shared" si="3"/>
        <v/>
      </c>
      <c r="AA41" s="38" t="str">
        <f t="shared" si="4"/>
        <v/>
      </c>
      <c r="AB41" s="38" t="str">
        <f t="shared" si="5"/>
        <v/>
      </c>
      <c r="AC41" s="38" t="str">
        <f t="shared" si="6"/>
        <v/>
      </c>
      <c r="AD41" s="38" t="str">
        <f t="shared" si="7"/>
        <v/>
      </c>
      <c r="AE41" s="38" t="str">
        <f t="shared" si="8"/>
        <v/>
      </c>
      <c r="AF41" s="89">
        <f>ROUND(Att1SmallCarriers[[#This Row],[2023 Maximum Government Contribution
Self]]*(1+$B$14),2)</f>
        <v>259.72000000000003</v>
      </c>
      <c r="AG41" s="89">
        <f>ROUND(Att1SmallCarriers[[#This Row],[2023 Maximum Government Contribution
Self+1]]*(1+$B$14),2)</f>
        <v>560.52</v>
      </c>
      <c r="AH41" s="89">
        <f>ROUND(Att1SmallCarriers[[#This Row],[2023 Maximum Government Contribution
Family]]*(1+$B$14),2)</f>
        <v>611.41999999999996</v>
      </c>
      <c r="AI41" s="217" t="str">
        <f>IF(E41="","",MIN(Att1SmallCarriers[[#This Row],[ESTIMATED 2024 Maximum Government Contribution
Self]],ROUND(AC41*0.75,2)))</f>
        <v/>
      </c>
      <c r="AJ41" s="217" t="str">
        <f>IF(E41="","",MIN(Att1SmallCarriers[[#This Row],[ESTIMATED 2024 Maximum Government Contribution
Self+1]],ROUND(AD41*0.75,2)))</f>
        <v/>
      </c>
      <c r="AK41" s="217" t="str">
        <f>IF(E41="","",MIN(Att1SmallCarriers[[#This Row],[ESTIMATED 2024 Maximum Government Contribution
Family]],ROUND(AE41*0.75,2)))</f>
        <v/>
      </c>
      <c r="AL41" s="38" t="str">
        <f t="shared" si="9"/>
        <v/>
      </c>
      <c r="AM41" s="38" t="str">
        <f t="shared" si="11"/>
        <v/>
      </c>
      <c r="AN41" s="38" t="str">
        <f t="shared" si="15"/>
        <v/>
      </c>
      <c r="AO41" s="218" t="str">
        <f t="shared" si="12"/>
        <v/>
      </c>
      <c r="AP41" s="218" t="str">
        <f t="shared" si="13"/>
        <v/>
      </c>
      <c r="AQ41" s="218" t="str">
        <f t="shared" si="14"/>
        <v/>
      </c>
    </row>
    <row r="42" spans="1:43" ht="18" customHeight="1" x14ac:dyDescent="0.35">
      <c r="A42" s="121"/>
      <c r="B42" s="121"/>
      <c r="C42" s="121"/>
      <c r="D42" s="121"/>
      <c r="E42" s="122"/>
      <c r="F42" s="122"/>
      <c r="G42" s="122"/>
      <c r="H42" s="122"/>
      <c r="I42" s="122"/>
      <c r="J42" s="122"/>
      <c r="K42" s="122"/>
      <c r="L42" s="131"/>
      <c r="M42" s="131"/>
      <c r="N42" s="40"/>
      <c r="O42" s="40"/>
      <c r="P42" s="40"/>
      <c r="Q42" s="39" t="str">
        <f t="shared" si="16"/>
        <v/>
      </c>
      <c r="R42" s="38" t="str">
        <f t="shared" si="17"/>
        <v/>
      </c>
      <c r="S42" s="38" t="str">
        <f t="shared" si="18"/>
        <v/>
      </c>
      <c r="T42" s="147">
        <v>259.72000000000003</v>
      </c>
      <c r="U42" s="147">
        <v>560.52</v>
      </c>
      <c r="V42" s="147">
        <v>611.41999999999996</v>
      </c>
      <c r="W42" s="38" t="str">
        <f t="shared" si="10"/>
        <v/>
      </c>
      <c r="X42" s="217" t="str">
        <f>IF(E42="","",IF(R42&gt;0,MIN(Att1SmallCarriers[[#This Row],[2023 Maximum Government Contribution
Self+1]],ROUND(R42*0.75,2)),"New Option"))</f>
        <v/>
      </c>
      <c r="Y42" s="217" t="str">
        <f>IF(E42="","",IF(S42&gt;0,MIN(Att1SmallCarriers[[#This Row],[2023 Maximum Government Contribution
Family]],ROUND(S42*0.75,2)),"New Option"))</f>
        <v/>
      </c>
      <c r="Z42" s="38" t="str">
        <f t="shared" si="3"/>
        <v/>
      </c>
      <c r="AA42" s="38" t="str">
        <f t="shared" si="4"/>
        <v/>
      </c>
      <c r="AB42" s="38" t="str">
        <f t="shared" si="5"/>
        <v/>
      </c>
      <c r="AC42" s="38" t="str">
        <f t="shared" si="6"/>
        <v/>
      </c>
      <c r="AD42" s="38" t="str">
        <f t="shared" si="7"/>
        <v/>
      </c>
      <c r="AE42" s="38" t="str">
        <f t="shared" si="8"/>
        <v/>
      </c>
      <c r="AF42" s="89">
        <f>ROUND(Att1SmallCarriers[[#This Row],[2023 Maximum Government Contribution
Self]]*(1+$B$14),2)</f>
        <v>259.72000000000003</v>
      </c>
      <c r="AG42" s="89">
        <f>ROUND(Att1SmallCarriers[[#This Row],[2023 Maximum Government Contribution
Self+1]]*(1+$B$14),2)</f>
        <v>560.52</v>
      </c>
      <c r="AH42" s="89">
        <f>ROUND(Att1SmallCarriers[[#This Row],[2023 Maximum Government Contribution
Family]]*(1+$B$14),2)</f>
        <v>611.41999999999996</v>
      </c>
      <c r="AI42" s="217" t="str">
        <f>IF(E42="","",MIN(Att1SmallCarriers[[#This Row],[ESTIMATED 2024 Maximum Government Contribution
Self]],ROUND(AC42*0.75,2)))</f>
        <v/>
      </c>
      <c r="AJ42" s="217" t="str">
        <f>IF(E42="","",MIN(Att1SmallCarriers[[#This Row],[ESTIMATED 2024 Maximum Government Contribution
Self+1]],ROUND(AD42*0.75,2)))</f>
        <v/>
      </c>
      <c r="AK42" s="217" t="str">
        <f>IF(E42="","",MIN(Att1SmallCarriers[[#This Row],[ESTIMATED 2024 Maximum Government Contribution
Family]],ROUND(AE42*0.75,2)))</f>
        <v/>
      </c>
      <c r="AL42" s="38" t="str">
        <f t="shared" si="9"/>
        <v/>
      </c>
      <c r="AM42" s="38" t="str">
        <f t="shared" si="11"/>
        <v/>
      </c>
      <c r="AN42" s="38" t="str">
        <f t="shared" si="15"/>
        <v/>
      </c>
      <c r="AO42" s="218" t="str">
        <f t="shared" si="12"/>
        <v/>
      </c>
      <c r="AP42" s="218" t="str">
        <f t="shared" si="13"/>
        <v/>
      </c>
      <c r="AQ42" s="218" t="str">
        <f t="shared" si="14"/>
        <v/>
      </c>
    </row>
    <row r="43" spans="1:43" ht="18" customHeight="1" x14ac:dyDescent="0.35">
      <c r="A43" s="128"/>
      <c r="B43" s="128"/>
      <c r="C43" s="128"/>
      <c r="D43" s="128"/>
      <c r="E43" s="129"/>
      <c r="F43" s="129"/>
      <c r="G43" s="129"/>
      <c r="H43" s="129"/>
      <c r="I43" s="129"/>
      <c r="J43" s="129"/>
      <c r="K43" s="129"/>
      <c r="L43" s="126"/>
      <c r="M43" s="126"/>
      <c r="N43" s="40"/>
      <c r="O43" s="40"/>
      <c r="P43" s="40"/>
      <c r="Q43" s="39" t="str">
        <f t="shared" si="16"/>
        <v/>
      </c>
      <c r="R43" s="38" t="str">
        <f t="shared" si="17"/>
        <v/>
      </c>
      <c r="S43" s="38" t="str">
        <f t="shared" si="18"/>
        <v/>
      </c>
      <c r="T43" s="147">
        <v>259.72000000000003</v>
      </c>
      <c r="U43" s="147">
        <v>560.52</v>
      </c>
      <c r="V43" s="147">
        <v>611.41999999999996</v>
      </c>
      <c r="W43" s="38" t="str">
        <f t="shared" si="10"/>
        <v/>
      </c>
      <c r="X43" s="217" t="str">
        <f>IF(E43="","",IF(R43&gt;0,MIN(Att1SmallCarriers[[#This Row],[2023 Maximum Government Contribution
Self+1]],ROUND(R43*0.75,2)),"New Option"))</f>
        <v/>
      </c>
      <c r="Y43" s="217" t="str">
        <f>IF(E43="","",IF(S43&gt;0,MIN(Att1SmallCarriers[[#This Row],[2023 Maximum Government Contribution
Family]],ROUND(S43*0.75,2)),"New Option"))</f>
        <v/>
      </c>
      <c r="Z43" s="38" t="str">
        <f t="shared" si="3"/>
        <v/>
      </c>
      <c r="AA43" s="38" t="str">
        <f t="shared" si="4"/>
        <v/>
      </c>
      <c r="AB43" s="38" t="str">
        <f t="shared" si="5"/>
        <v/>
      </c>
      <c r="AC43" s="38" t="str">
        <f t="shared" si="6"/>
        <v/>
      </c>
      <c r="AD43" s="38" t="str">
        <f t="shared" si="7"/>
        <v/>
      </c>
      <c r="AE43" s="38" t="str">
        <f t="shared" si="8"/>
        <v/>
      </c>
      <c r="AF43" s="89">
        <f>ROUND(Att1SmallCarriers[[#This Row],[2023 Maximum Government Contribution
Self]]*(1+$B$14),2)</f>
        <v>259.72000000000003</v>
      </c>
      <c r="AG43" s="89">
        <f>ROUND(Att1SmallCarriers[[#This Row],[2023 Maximum Government Contribution
Self+1]]*(1+$B$14),2)</f>
        <v>560.52</v>
      </c>
      <c r="AH43" s="89">
        <f>ROUND(Att1SmallCarriers[[#This Row],[2023 Maximum Government Contribution
Family]]*(1+$B$14),2)</f>
        <v>611.41999999999996</v>
      </c>
      <c r="AI43" s="217" t="str">
        <f>IF(E43="","",MIN(Att1SmallCarriers[[#This Row],[ESTIMATED 2024 Maximum Government Contribution
Self]],ROUND(AC43*0.75,2)))</f>
        <v/>
      </c>
      <c r="AJ43" s="217" t="str">
        <f>IF(E43="","",MIN(Att1SmallCarriers[[#This Row],[ESTIMATED 2024 Maximum Government Contribution
Self+1]],ROUND(AD43*0.75,2)))</f>
        <v/>
      </c>
      <c r="AK43" s="217" t="str">
        <f>IF(E43="","",MIN(Att1SmallCarriers[[#This Row],[ESTIMATED 2024 Maximum Government Contribution
Family]],ROUND(AE43*0.75,2)))</f>
        <v/>
      </c>
      <c r="AL43" s="38" t="str">
        <f t="shared" si="9"/>
        <v/>
      </c>
      <c r="AM43" s="38" t="str">
        <f t="shared" si="11"/>
        <v/>
      </c>
      <c r="AN43" s="38" t="str">
        <f t="shared" si="15"/>
        <v/>
      </c>
      <c r="AO43" s="218" t="str">
        <f t="shared" si="12"/>
        <v/>
      </c>
      <c r="AP43" s="218" t="str">
        <f t="shared" si="13"/>
        <v/>
      </c>
      <c r="AQ43" s="218" t="str">
        <f t="shared" si="14"/>
        <v/>
      </c>
    </row>
    <row r="44" spans="1:43" ht="18" customHeight="1" x14ac:dyDescent="0.35">
      <c r="A44" s="128"/>
      <c r="B44" s="128"/>
      <c r="C44" s="128"/>
      <c r="D44" s="128"/>
      <c r="E44" s="129"/>
      <c r="F44" s="129"/>
      <c r="G44" s="129"/>
      <c r="H44" s="129"/>
      <c r="I44" s="129"/>
      <c r="J44" s="129"/>
      <c r="K44" s="129"/>
      <c r="L44" s="126"/>
      <c r="M44" s="126"/>
      <c r="N44" s="40"/>
      <c r="O44" s="40"/>
      <c r="P44" s="40"/>
      <c r="Q44" s="39" t="str">
        <f t="shared" si="16"/>
        <v/>
      </c>
      <c r="R44" s="38" t="str">
        <f t="shared" si="17"/>
        <v/>
      </c>
      <c r="S44" s="38" t="str">
        <f t="shared" si="18"/>
        <v/>
      </c>
      <c r="T44" s="147">
        <v>259.72000000000003</v>
      </c>
      <c r="U44" s="147">
        <v>560.52</v>
      </c>
      <c r="V44" s="147">
        <v>611.41999999999996</v>
      </c>
      <c r="W44" s="38" t="str">
        <f t="shared" si="10"/>
        <v/>
      </c>
      <c r="X44" s="217" t="str">
        <f>IF(E44="","",IF(R44&gt;0,MIN(Att1SmallCarriers[[#This Row],[2023 Maximum Government Contribution
Self+1]],ROUND(R44*0.75,2)),"New Option"))</f>
        <v/>
      </c>
      <c r="Y44" s="217" t="str">
        <f>IF(E44="","",IF(S44&gt;0,MIN(Att1SmallCarriers[[#This Row],[2023 Maximum Government Contribution
Family]],ROUND(S44*0.75,2)),"New Option"))</f>
        <v/>
      </c>
      <c r="Z44" s="38" t="str">
        <f t="shared" si="3"/>
        <v/>
      </c>
      <c r="AA44" s="38" t="str">
        <f t="shared" si="4"/>
        <v/>
      </c>
      <c r="AB44" s="38" t="str">
        <f t="shared" si="5"/>
        <v/>
      </c>
      <c r="AC44" s="38" t="str">
        <f t="shared" si="6"/>
        <v/>
      </c>
      <c r="AD44" s="38" t="str">
        <f t="shared" si="7"/>
        <v/>
      </c>
      <c r="AE44" s="38" t="str">
        <f t="shared" si="8"/>
        <v/>
      </c>
      <c r="AF44" s="89">
        <f>ROUND(Att1SmallCarriers[[#This Row],[2023 Maximum Government Contribution
Self]]*(1+$B$14),2)</f>
        <v>259.72000000000003</v>
      </c>
      <c r="AG44" s="89">
        <f>ROUND(Att1SmallCarriers[[#This Row],[2023 Maximum Government Contribution
Self+1]]*(1+$B$14),2)</f>
        <v>560.52</v>
      </c>
      <c r="AH44" s="89">
        <f>ROUND(Att1SmallCarriers[[#This Row],[2023 Maximum Government Contribution
Family]]*(1+$B$14),2)</f>
        <v>611.41999999999996</v>
      </c>
      <c r="AI44" s="217" t="str">
        <f>IF(E44="","",MIN(Att1SmallCarriers[[#This Row],[ESTIMATED 2024 Maximum Government Contribution
Self]],ROUND(AC44*0.75,2)))</f>
        <v/>
      </c>
      <c r="AJ44" s="217" t="str">
        <f>IF(E44="","",MIN(Att1SmallCarriers[[#This Row],[ESTIMATED 2024 Maximum Government Contribution
Self+1]],ROUND(AD44*0.75,2)))</f>
        <v/>
      </c>
      <c r="AK44" s="217" t="str">
        <f>IF(E44="","",MIN(Att1SmallCarriers[[#This Row],[ESTIMATED 2024 Maximum Government Contribution
Family]],ROUND(AE44*0.75,2)))</f>
        <v/>
      </c>
      <c r="AL44" s="38" t="str">
        <f t="shared" si="9"/>
        <v/>
      </c>
      <c r="AM44" s="38" t="str">
        <f t="shared" si="11"/>
        <v/>
      </c>
      <c r="AN44" s="38" t="str">
        <f t="shared" si="15"/>
        <v/>
      </c>
      <c r="AO44" s="218" t="str">
        <f t="shared" si="12"/>
        <v/>
      </c>
      <c r="AP44" s="218" t="str">
        <f t="shared" si="13"/>
        <v/>
      </c>
      <c r="AQ44" s="218" t="str">
        <f t="shared" si="14"/>
        <v/>
      </c>
    </row>
    <row r="45" spans="1:43" ht="18" customHeight="1" x14ac:dyDescent="0.35">
      <c r="A45" s="121"/>
      <c r="B45" s="121"/>
      <c r="C45" s="121"/>
      <c r="D45" s="121"/>
      <c r="E45" s="122"/>
      <c r="F45" s="122"/>
      <c r="G45" s="122"/>
      <c r="H45" s="122"/>
      <c r="I45" s="122"/>
      <c r="J45" s="122"/>
      <c r="K45" s="122"/>
      <c r="L45" s="126"/>
      <c r="M45" s="126"/>
      <c r="N45" s="40"/>
      <c r="O45" s="40"/>
      <c r="P45" s="40"/>
      <c r="Q45" s="39" t="str">
        <f t="shared" si="16"/>
        <v/>
      </c>
      <c r="R45" s="38" t="str">
        <f t="shared" si="17"/>
        <v/>
      </c>
      <c r="S45" s="38" t="str">
        <f t="shared" si="18"/>
        <v/>
      </c>
      <c r="T45" s="147">
        <v>259.72000000000003</v>
      </c>
      <c r="U45" s="147">
        <v>560.52</v>
      </c>
      <c r="V45" s="147">
        <v>611.41999999999996</v>
      </c>
      <c r="W45" s="38" t="str">
        <f t="shared" si="10"/>
        <v/>
      </c>
      <c r="X45" s="217" t="str">
        <f>IF(E45="","",IF(R45&gt;0,MIN(Att1SmallCarriers[[#This Row],[2023 Maximum Government Contribution
Self+1]],ROUND(R45*0.75,2)),"New Option"))</f>
        <v/>
      </c>
      <c r="Y45" s="217" t="str">
        <f>IF(E45="","",IF(S45&gt;0,MIN(Att1SmallCarriers[[#This Row],[2023 Maximum Government Contribution
Family]],ROUND(S45*0.75,2)),"New Option"))</f>
        <v/>
      </c>
      <c r="Z45" s="38" t="str">
        <f t="shared" si="3"/>
        <v/>
      </c>
      <c r="AA45" s="38" t="str">
        <f t="shared" si="4"/>
        <v/>
      </c>
      <c r="AB45" s="38" t="str">
        <f t="shared" si="5"/>
        <v/>
      </c>
      <c r="AC45" s="38" t="str">
        <f t="shared" si="6"/>
        <v/>
      </c>
      <c r="AD45" s="38" t="str">
        <f t="shared" si="7"/>
        <v/>
      </c>
      <c r="AE45" s="38" t="str">
        <f t="shared" si="8"/>
        <v/>
      </c>
      <c r="AF45" s="89">
        <f>ROUND(Att1SmallCarriers[[#This Row],[2023 Maximum Government Contribution
Self]]*(1+$B$14),2)</f>
        <v>259.72000000000003</v>
      </c>
      <c r="AG45" s="89">
        <f>ROUND(Att1SmallCarriers[[#This Row],[2023 Maximum Government Contribution
Self+1]]*(1+$B$14),2)</f>
        <v>560.52</v>
      </c>
      <c r="AH45" s="89">
        <f>ROUND(Att1SmallCarriers[[#This Row],[2023 Maximum Government Contribution
Family]]*(1+$B$14),2)</f>
        <v>611.41999999999996</v>
      </c>
      <c r="AI45" s="217" t="str">
        <f>IF(E45="","",MIN(Att1SmallCarriers[[#This Row],[ESTIMATED 2024 Maximum Government Contribution
Self]],ROUND(AC45*0.75,2)))</f>
        <v/>
      </c>
      <c r="AJ45" s="217" t="str">
        <f>IF(E45="","",MIN(Att1SmallCarriers[[#This Row],[ESTIMATED 2024 Maximum Government Contribution
Self+1]],ROUND(AD45*0.75,2)))</f>
        <v/>
      </c>
      <c r="AK45" s="217" t="str">
        <f>IF(E45="","",MIN(Att1SmallCarriers[[#This Row],[ESTIMATED 2024 Maximum Government Contribution
Family]],ROUND(AE45*0.75,2)))</f>
        <v/>
      </c>
      <c r="AL45" s="38" t="str">
        <f t="shared" si="9"/>
        <v/>
      </c>
      <c r="AM45" s="38" t="str">
        <f t="shared" si="11"/>
        <v/>
      </c>
      <c r="AN45" s="38" t="str">
        <f t="shared" si="15"/>
        <v/>
      </c>
      <c r="AO45" s="218" t="str">
        <f t="shared" si="12"/>
        <v/>
      </c>
      <c r="AP45" s="218" t="str">
        <f t="shared" si="13"/>
        <v/>
      </c>
      <c r="AQ45" s="218" t="str">
        <f t="shared" si="14"/>
        <v/>
      </c>
    </row>
    <row r="46" spans="1:43" ht="18" customHeight="1" x14ac:dyDescent="0.35">
      <c r="A46" s="121"/>
      <c r="B46" s="121"/>
      <c r="C46" s="121"/>
      <c r="D46" s="121"/>
      <c r="E46" s="122"/>
      <c r="F46" s="122"/>
      <c r="G46" s="122"/>
      <c r="H46" s="122"/>
      <c r="I46" s="122"/>
      <c r="J46" s="122"/>
      <c r="K46" s="122"/>
      <c r="L46" s="130"/>
      <c r="M46" s="130"/>
      <c r="N46" s="40"/>
      <c r="O46" s="40"/>
      <c r="P46" s="40"/>
      <c r="Q46" s="39" t="str">
        <f t="shared" si="16"/>
        <v/>
      </c>
      <c r="R46" s="38" t="str">
        <f t="shared" si="17"/>
        <v/>
      </c>
      <c r="S46" s="38" t="str">
        <f t="shared" si="18"/>
        <v/>
      </c>
      <c r="T46" s="147">
        <v>259.72000000000003</v>
      </c>
      <c r="U46" s="147">
        <v>560.52</v>
      </c>
      <c r="V46" s="147">
        <v>611.41999999999996</v>
      </c>
      <c r="W46" s="38" t="str">
        <f t="shared" si="10"/>
        <v/>
      </c>
      <c r="X46" s="217" t="str">
        <f>IF(E46="","",IF(R46&gt;0,MIN(Att1SmallCarriers[[#This Row],[2023 Maximum Government Contribution
Self+1]],ROUND(R46*0.75,2)),"New Option"))</f>
        <v/>
      </c>
      <c r="Y46" s="217" t="str">
        <f>IF(E46="","",IF(S46&gt;0,MIN(Att1SmallCarriers[[#This Row],[2023 Maximum Government Contribution
Family]],ROUND(S46*0.75,2)),"New Option"))</f>
        <v/>
      </c>
      <c r="Z46" s="38" t="str">
        <f t="shared" si="3"/>
        <v/>
      </c>
      <c r="AA46" s="38" t="str">
        <f t="shared" si="4"/>
        <v/>
      </c>
      <c r="AB46" s="38" t="str">
        <f t="shared" si="5"/>
        <v/>
      </c>
      <c r="AC46" s="38" t="str">
        <f t="shared" si="6"/>
        <v/>
      </c>
      <c r="AD46" s="38" t="str">
        <f t="shared" si="7"/>
        <v/>
      </c>
      <c r="AE46" s="38" t="str">
        <f t="shared" si="8"/>
        <v/>
      </c>
      <c r="AF46" s="89">
        <f>ROUND(Att1SmallCarriers[[#This Row],[2023 Maximum Government Contribution
Self]]*(1+$B$14),2)</f>
        <v>259.72000000000003</v>
      </c>
      <c r="AG46" s="89">
        <f>ROUND(Att1SmallCarriers[[#This Row],[2023 Maximum Government Contribution
Self+1]]*(1+$B$14),2)</f>
        <v>560.52</v>
      </c>
      <c r="AH46" s="89">
        <f>ROUND(Att1SmallCarriers[[#This Row],[2023 Maximum Government Contribution
Family]]*(1+$B$14),2)</f>
        <v>611.41999999999996</v>
      </c>
      <c r="AI46" s="217" t="str">
        <f>IF(E46="","",MIN(Att1SmallCarriers[[#This Row],[ESTIMATED 2024 Maximum Government Contribution
Self]],ROUND(AC46*0.75,2)))</f>
        <v/>
      </c>
      <c r="AJ46" s="217" t="str">
        <f>IF(E46="","",MIN(Att1SmallCarriers[[#This Row],[ESTIMATED 2024 Maximum Government Contribution
Self+1]],ROUND(AD46*0.75,2)))</f>
        <v/>
      </c>
      <c r="AK46" s="217" t="str">
        <f>IF(E46="","",MIN(Att1SmallCarriers[[#This Row],[ESTIMATED 2024 Maximum Government Contribution
Family]],ROUND(AE46*0.75,2)))</f>
        <v/>
      </c>
      <c r="AL46" s="38" t="str">
        <f t="shared" si="9"/>
        <v/>
      </c>
      <c r="AM46" s="38" t="str">
        <f t="shared" si="11"/>
        <v/>
      </c>
      <c r="AN46" s="38" t="str">
        <f t="shared" si="15"/>
        <v/>
      </c>
      <c r="AO46" s="218" t="str">
        <f t="shared" si="12"/>
        <v/>
      </c>
      <c r="AP46" s="218" t="str">
        <f t="shared" si="13"/>
        <v/>
      </c>
      <c r="AQ46" s="218" t="str">
        <f t="shared" si="14"/>
        <v/>
      </c>
    </row>
    <row r="47" spans="1:43" ht="18" customHeight="1" x14ac:dyDescent="0.35">
      <c r="A47" s="121"/>
      <c r="B47" s="121"/>
      <c r="C47" s="121"/>
      <c r="D47" s="121"/>
      <c r="E47" s="122"/>
      <c r="F47" s="122"/>
      <c r="G47" s="122"/>
      <c r="H47" s="122"/>
      <c r="I47" s="122"/>
      <c r="J47" s="122"/>
      <c r="K47" s="122"/>
      <c r="L47" s="130"/>
      <c r="M47" s="130"/>
      <c r="N47" s="40"/>
      <c r="O47" s="40"/>
      <c r="P47" s="40"/>
      <c r="Q47" s="39" t="str">
        <f t="shared" si="16"/>
        <v/>
      </c>
      <c r="R47" s="38" t="str">
        <f t="shared" si="17"/>
        <v/>
      </c>
      <c r="S47" s="38" t="str">
        <f t="shared" si="18"/>
        <v/>
      </c>
      <c r="T47" s="147">
        <v>259.72000000000003</v>
      </c>
      <c r="U47" s="147">
        <v>560.52</v>
      </c>
      <c r="V47" s="147">
        <v>611.41999999999996</v>
      </c>
      <c r="W47" s="38" t="str">
        <f t="shared" si="10"/>
        <v/>
      </c>
      <c r="X47" s="217" t="str">
        <f>IF(E47="","",IF(R47&gt;0,MIN(Att1SmallCarriers[[#This Row],[2023 Maximum Government Contribution
Self+1]],ROUND(R47*0.75,2)),"New Option"))</f>
        <v/>
      </c>
      <c r="Y47" s="217" t="str">
        <f>IF(E47="","",IF(S47&gt;0,MIN(Att1SmallCarriers[[#This Row],[2023 Maximum Government Contribution
Family]],ROUND(S47*0.75,2)),"New Option"))</f>
        <v/>
      </c>
      <c r="Z47" s="38" t="str">
        <f t="shared" si="3"/>
        <v/>
      </c>
      <c r="AA47" s="38" t="str">
        <f t="shared" si="4"/>
        <v/>
      </c>
      <c r="AB47" s="38" t="str">
        <f t="shared" si="5"/>
        <v/>
      </c>
      <c r="AC47" s="38" t="str">
        <f t="shared" si="6"/>
        <v/>
      </c>
      <c r="AD47" s="38" t="str">
        <f t="shared" si="7"/>
        <v/>
      </c>
      <c r="AE47" s="38" t="str">
        <f t="shared" si="8"/>
        <v/>
      </c>
      <c r="AF47" s="89">
        <f>ROUND(Att1SmallCarriers[[#This Row],[2023 Maximum Government Contribution
Self]]*(1+$B$14),2)</f>
        <v>259.72000000000003</v>
      </c>
      <c r="AG47" s="89">
        <f>ROUND(Att1SmallCarriers[[#This Row],[2023 Maximum Government Contribution
Self+1]]*(1+$B$14),2)</f>
        <v>560.52</v>
      </c>
      <c r="AH47" s="89">
        <f>ROUND(Att1SmallCarriers[[#This Row],[2023 Maximum Government Contribution
Family]]*(1+$B$14),2)</f>
        <v>611.41999999999996</v>
      </c>
      <c r="AI47" s="217" t="str">
        <f>IF(E47="","",MIN(Att1SmallCarriers[[#This Row],[ESTIMATED 2024 Maximum Government Contribution
Self]],ROUND(AC47*0.75,2)))</f>
        <v/>
      </c>
      <c r="AJ47" s="217" t="str">
        <f>IF(E47="","",MIN(Att1SmallCarriers[[#This Row],[ESTIMATED 2024 Maximum Government Contribution
Self+1]],ROUND(AD47*0.75,2)))</f>
        <v/>
      </c>
      <c r="AK47" s="217" t="str">
        <f>IF(E47="","",MIN(Att1SmallCarriers[[#This Row],[ESTIMATED 2024 Maximum Government Contribution
Family]],ROUND(AE47*0.75,2)))</f>
        <v/>
      </c>
      <c r="AL47" s="38" t="str">
        <f t="shared" si="9"/>
        <v/>
      </c>
      <c r="AM47" s="38" t="str">
        <f t="shared" si="11"/>
        <v/>
      </c>
      <c r="AN47" s="38" t="str">
        <f t="shared" si="15"/>
        <v/>
      </c>
      <c r="AO47" s="218" t="str">
        <f t="shared" si="12"/>
        <v/>
      </c>
      <c r="AP47" s="218" t="str">
        <f t="shared" si="13"/>
        <v/>
      </c>
      <c r="AQ47" s="218" t="str">
        <f t="shared" si="14"/>
        <v/>
      </c>
    </row>
    <row r="48" spans="1:43" ht="18" customHeight="1" x14ac:dyDescent="0.35">
      <c r="A48" s="121"/>
      <c r="B48" s="121"/>
      <c r="C48" s="121"/>
      <c r="D48" s="121"/>
      <c r="E48" s="122"/>
      <c r="F48" s="122"/>
      <c r="G48" s="122"/>
      <c r="H48" s="122"/>
      <c r="I48" s="122"/>
      <c r="J48" s="122"/>
      <c r="K48" s="122"/>
      <c r="L48" s="130"/>
      <c r="M48" s="130"/>
      <c r="N48" s="40"/>
      <c r="O48" s="40"/>
      <c r="P48" s="40"/>
      <c r="Q48" s="39" t="str">
        <f t="shared" si="16"/>
        <v/>
      </c>
      <c r="R48" s="38" t="str">
        <f t="shared" si="17"/>
        <v/>
      </c>
      <c r="S48" s="38" t="str">
        <f t="shared" si="18"/>
        <v/>
      </c>
      <c r="T48" s="147">
        <v>259.72000000000003</v>
      </c>
      <c r="U48" s="147">
        <v>560.52</v>
      </c>
      <c r="V48" s="147">
        <v>611.41999999999996</v>
      </c>
      <c r="W48" s="38" t="str">
        <f t="shared" si="10"/>
        <v/>
      </c>
      <c r="X48" s="217" t="str">
        <f>IF(E48="","",IF(R48&gt;0,MIN(Att1SmallCarriers[[#This Row],[2023 Maximum Government Contribution
Self+1]],ROUND(R48*0.75,2)),"New Option"))</f>
        <v/>
      </c>
      <c r="Y48" s="217" t="str">
        <f>IF(E48="","",IF(S48&gt;0,MIN(Att1SmallCarriers[[#This Row],[2023 Maximum Government Contribution
Family]],ROUND(S48*0.75,2)),"New Option"))</f>
        <v/>
      </c>
      <c r="Z48" s="38" t="str">
        <f t="shared" si="3"/>
        <v/>
      </c>
      <c r="AA48" s="38" t="str">
        <f t="shared" si="4"/>
        <v/>
      </c>
      <c r="AB48" s="38" t="str">
        <f t="shared" si="5"/>
        <v/>
      </c>
      <c r="AC48" s="38" t="str">
        <f t="shared" si="6"/>
        <v/>
      </c>
      <c r="AD48" s="38" t="str">
        <f t="shared" si="7"/>
        <v/>
      </c>
      <c r="AE48" s="38" t="str">
        <f t="shared" si="8"/>
        <v/>
      </c>
      <c r="AF48" s="89">
        <f>ROUND(Att1SmallCarriers[[#This Row],[2023 Maximum Government Contribution
Self]]*(1+$B$14),2)</f>
        <v>259.72000000000003</v>
      </c>
      <c r="AG48" s="89">
        <f>ROUND(Att1SmallCarriers[[#This Row],[2023 Maximum Government Contribution
Self+1]]*(1+$B$14),2)</f>
        <v>560.52</v>
      </c>
      <c r="AH48" s="89">
        <f>ROUND(Att1SmallCarriers[[#This Row],[2023 Maximum Government Contribution
Family]]*(1+$B$14),2)</f>
        <v>611.41999999999996</v>
      </c>
      <c r="AI48" s="217" t="str">
        <f>IF(E48="","",MIN(Att1SmallCarriers[[#This Row],[ESTIMATED 2024 Maximum Government Contribution
Self]],ROUND(AC48*0.75,2)))</f>
        <v/>
      </c>
      <c r="AJ48" s="217" t="str">
        <f>IF(E48="","",MIN(Att1SmallCarriers[[#This Row],[ESTIMATED 2024 Maximum Government Contribution
Self+1]],ROUND(AD48*0.75,2)))</f>
        <v/>
      </c>
      <c r="AK48" s="217" t="str">
        <f>IF(E48="","",MIN(Att1SmallCarriers[[#This Row],[ESTIMATED 2024 Maximum Government Contribution
Family]],ROUND(AE48*0.75,2)))</f>
        <v/>
      </c>
      <c r="AL48" s="38" t="str">
        <f t="shared" si="9"/>
        <v/>
      </c>
      <c r="AM48" s="38" t="str">
        <f t="shared" si="11"/>
        <v/>
      </c>
      <c r="AN48" s="38" t="str">
        <f t="shared" si="15"/>
        <v/>
      </c>
      <c r="AO48" s="218" t="str">
        <f t="shared" si="12"/>
        <v/>
      </c>
      <c r="AP48" s="218" t="str">
        <f t="shared" si="13"/>
        <v/>
      </c>
      <c r="AQ48" s="218" t="str">
        <f t="shared" si="14"/>
        <v/>
      </c>
    </row>
    <row r="49" spans="1:43" ht="18" customHeight="1" x14ac:dyDescent="0.35">
      <c r="A49" s="132"/>
      <c r="B49" s="132"/>
      <c r="C49" s="132"/>
      <c r="D49" s="132"/>
      <c r="E49" s="133"/>
      <c r="F49" s="133"/>
      <c r="G49" s="133"/>
      <c r="H49" s="133"/>
      <c r="I49" s="133"/>
      <c r="J49" s="133"/>
      <c r="K49" s="133"/>
      <c r="L49" s="134"/>
      <c r="M49" s="134"/>
      <c r="N49" s="40"/>
      <c r="O49" s="40"/>
      <c r="P49" s="40"/>
      <c r="Q49" s="39" t="str">
        <f t="shared" si="16"/>
        <v/>
      </c>
      <c r="R49" s="38" t="str">
        <f t="shared" si="17"/>
        <v/>
      </c>
      <c r="S49" s="38" t="str">
        <f t="shared" si="18"/>
        <v/>
      </c>
      <c r="T49" s="147">
        <v>259.72000000000003</v>
      </c>
      <c r="U49" s="147">
        <v>560.52</v>
      </c>
      <c r="V49" s="147">
        <v>611.41999999999996</v>
      </c>
      <c r="W49" s="38" t="str">
        <f t="shared" si="10"/>
        <v/>
      </c>
      <c r="X49" s="217" t="str">
        <f>IF(E49="","",IF(R49&gt;0,MIN(Att1SmallCarriers[[#This Row],[2023 Maximum Government Contribution
Self+1]],ROUND(R49*0.75,2)),"New Option"))</f>
        <v/>
      </c>
      <c r="Y49" s="217" t="str">
        <f>IF(E49="","",IF(S49&gt;0,MIN(Att1SmallCarriers[[#This Row],[2023 Maximum Government Contribution
Family]],ROUND(S49*0.75,2)),"New Option"))</f>
        <v/>
      </c>
      <c r="Z49" s="38" t="str">
        <f t="shared" si="3"/>
        <v/>
      </c>
      <c r="AA49" s="38" t="str">
        <f t="shared" si="4"/>
        <v/>
      </c>
      <c r="AB49" s="38" t="str">
        <f t="shared" si="5"/>
        <v/>
      </c>
      <c r="AC49" s="38" t="str">
        <f t="shared" si="6"/>
        <v/>
      </c>
      <c r="AD49" s="38" t="str">
        <f t="shared" si="7"/>
        <v/>
      </c>
      <c r="AE49" s="38" t="str">
        <f t="shared" si="8"/>
        <v/>
      </c>
      <c r="AF49" s="89">
        <f>ROUND(Att1SmallCarriers[[#This Row],[2023 Maximum Government Contribution
Self]]*(1+$B$14),2)</f>
        <v>259.72000000000003</v>
      </c>
      <c r="AG49" s="89">
        <f>ROUND(Att1SmallCarriers[[#This Row],[2023 Maximum Government Contribution
Self+1]]*(1+$B$14),2)</f>
        <v>560.52</v>
      </c>
      <c r="AH49" s="89">
        <f>ROUND(Att1SmallCarriers[[#This Row],[2023 Maximum Government Contribution
Family]]*(1+$B$14),2)</f>
        <v>611.41999999999996</v>
      </c>
      <c r="AI49" s="217" t="str">
        <f>IF(E49="","",MIN(Att1SmallCarriers[[#This Row],[ESTIMATED 2024 Maximum Government Contribution
Self]],ROUND(AC49*0.75,2)))</f>
        <v/>
      </c>
      <c r="AJ49" s="217" t="str">
        <f>IF(E49="","",MIN(Att1SmallCarriers[[#This Row],[ESTIMATED 2024 Maximum Government Contribution
Self+1]],ROUND(AD49*0.75,2)))</f>
        <v/>
      </c>
      <c r="AK49" s="217" t="str">
        <f>IF(E49="","",MIN(Att1SmallCarriers[[#This Row],[ESTIMATED 2024 Maximum Government Contribution
Family]],ROUND(AE49*0.75,2)))</f>
        <v/>
      </c>
      <c r="AL49" s="38" t="str">
        <f t="shared" si="9"/>
        <v/>
      </c>
      <c r="AM49" s="38" t="str">
        <f t="shared" si="11"/>
        <v/>
      </c>
      <c r="AN49" s="38" t="str">
        <f t="shared" si="15"/>
        <v/>
      </c>
      <c r="AO49" s="218" t="str">
        <f t="shared" si="12"/>
        <v/>
      </c>
      <c r="AP49" s="218" t="str">
        <f t="shared" si="13"/>
        <v/>
      </c>
      <c r="AQ49" s="218" t="str">
        <f t="shared" si="14"/>
        <v/>
      </c>
    </row>
    <row r="50" spans="1:43" ht="18" customHeight="1" x14ac:dyDescent="0.35">
      <c r="E50" s="223"/>
      <c r="N50" s="40"/>
      <c r="O50" s="40"/>
      <c r="P50" s="40"/>
      <c r="Q50" s="39" t="str">
        <f t="shared" si="16"/>
        <v/>
      </c>
      <c r="R50" s="38" t="str">
        <f t="shared" si="17"/>
        <v/>
      </c>
      <c r="S50" s="38" t="str">
        <f t="shared" si="18"/>
        <v/>
      </c>
      <c r="T50" s="147">
        <v>259.72000000000003</v>
      </c>
      <c r="U50" s="147">
        <v>560.52</v>
      </c>
      <c r="V50" s="147">
        <v>611.41999999999996</v>
      </c>
      <c r="W50" s="38" t="str">
        <f t="shared" si="10"/>
        <v/>
      </c>
      <c r="X50" s="217" t="str">
        <f>IF(E50="","",IF(R50&gt;0,MIN(Att1SmallCarriers[[#This Row],[2023 Maximum Government Contribution
Self+1]],ROUND(R50*0.75,2)),"New Option"))</f>
        <v/>
      </c>
      <c r="Y50" s="217" t="str">
        <f>IF(E50="","",IF(S50&gt;0,MIN(Att1SmallCarriers[[#This Row],[2023 Maximum Government Contribution
Family]],ROUND(S50*0.75,2)),"New Option"))</f>
        <v/>
      </c>
      <c r="Z50" s="38" t="str">
        <f t="shared" si="3"/>
        <v/>
      </c>
      <c r="AA50" s="38" t="str">
        <f t="shared" si="4"/>
        <v/>
      </c>
      <c r="AB50" s="38" t="str">
        <f t="shared" si="5"/>
        <v/>
      </c>
      <c r="AC50" s="38" t="str">
        <f t="shared" si="6"/>
        <v/>
      </c>
      <c r="AD50" s="38" t="str">
        <f t="shared" si="7"/>
        <v/>
      </c>
      <c r="AE50" s="38" t="str">
        <f t="shared" si="8"/>
        <v/>
      </c>
      <c r="AF50" s="89">
        <f>ROUND(Att1SmallCarriers[[#This Row],[2023 Maximum Government Contribution
Self]]*(1+$B$14),2)</f>
        <v>259.72000000000003</v>
      </c>
      <c r="AG50" s="89">
        <f>ROUND(Att1SmallCarriers[[#This Row],[2023 Maximum Government Contribution
Self+1]]*(1+$B$14),2)</f>
        <v>560.52</v>
      </c>
      <c r="AH50" s="89">
        <f>ROUND(Att1SmallCarriers[[#This Row],[2023 Maximum Government Contribution
Family]]*(1+$B$14),2)</f>
        <v>611.41999999999996</v>
      </c>
      <c r="AI50" s="217" t="str">
        <f>IF(E50="","",MIN(Att1SmallCarriers[[#This Row],[ESTIMATED 2024 Maximum Government Contribution
Self]],ROUND(AC50*0.75,2)))</f>
        <v/>
      </c>
      <c r="AJ50" s="217" t="str">
        <f>IF(E50="","",MIN(Att1SmallCarriers[[#This Row],[ESTIMATED 2024 Maximum Government Contribution
Self+1]],ROUND(AD50*0.75,2)))</f>
        <v/>
      </c>
      <c r="AK50" s="217" t="str">
        <f>IF(E50="","",MIN(Att1SmallCarriers[[#This Row],[ESTIMATED 2024 Maximum Government Contribution
Family]],ROUND(AE50*0.75,2)))</f>
        <v/>
      </c>
      <c r="AL50" s="38" t="str">
        <f t="shared" si="9"/>
        <v/>
      </c>
      <c r="AM50" s="38" t="str">
        <f t="shared" si="11"/>
        <v/>
      </c>
      <c r="AN50" s="38" t="str">
        <f t="shared" si="15"/>
        <v/>
      </c>
      <c r="AO50" s="218" t="str">
        <f t="shared" si="12"/>
        <v/>
      </c>
      <c r="AP50" s="218" t="str">
        <f t="shared" si="13"/>
        <v/>
      </c>
      <c r="AQ50" s="218" t="str">
        <f t="shared" si="14"/>
        <v/>
      </c>
    </row>
    <row r="51" spans="1:43" ht="18" customHeight="1" x14ac:dyDescent="0.35">
      <c r="E51" s="223"/>
      <c r="N51" s="40"/>
      <c r="O51" s="40"/>
      <c r="P51" s="40"/>
      <c r="Q51" s="39" t="str">
        <f t="shared" si="16"/>
        <v/>
      </c>
      <c r="R51" s="38" t="str">
        <f t="shared" si="17"/>
        <v/>
      </c>
      <c r="S51" s="38" t="str">
        <f t="shared" si="18"/>
        <v/>
      </c>
      <c r="T51" s="147">
        <v>259.72000000000003</v>
      </c>
      <c r="U51" s="147">
        <v>560.52</v>
      </c>
      <c r="V51" s="147">
        <v>611.41999999999996</v>
      </c>
      <c r="W51" s="38" t="str">
        <f t="shared" si="10"/>
        <v/>
      </c>
      <c r="X51" s="217" t="str">
        <f>IF(E51="","",IF(R51&gt;0,MIN(Att1SmallCarriers[[#This Row],[2023 Maximum Government Contribution
Self+1]],ROUND(R51*0.75,2)),"New Option"))</f>
        <v/>
      </c>
      <c r="Y51" s="217" t="str">
        <f>IF(E51="","",IF(S51&gt;0,MIN(Att1SmallCarriers[[#This Row],[2023 Maximum Government Contribution
Family]],ROUND(S51*0.75,2)),"New Option"))</f>
        <v/>
      </c>
      <c r="Z51" s="38" t="str">
        <f t="shared" ref="Z51:Z82" si="19">IF(E51="","",IF(Q51&gt;0, Q51-W51,"New Option"))</f>
        <v/>
      </c>
      <c r="AA51" s="38" t="str">
        <f t="shared" ref="AA51:AA82" si="20">IF(E51="","",IF(R51&gt;0, R51-X51,"New Option"))</f>
        <v/>
      </c>
      <c r="AB51" s="38" t="str">
        <f t="shared" ref="AB51:AB82" si="21">IF(E51="","",IF(S51&gt;0, S51-Y51,"New Option"))</f>
        <v/>
      </c>
      <c r="AC51" s="38" t="str">
        <f t="shared" ref="AC51:AC82" si="22">IF(E51="","",ROUND(K51*1.04,2))</f>
        <v/>
      </c>
      <c r="AD51" s="38" t="str">
        <f t="shared" ref="AD51:AD82" si="23">IF(E51="","",ROUND(L51*1.04,2))</f>
        <v/>
      </c>
      <c r="AE51" s="38" t="str">
        <f t="shared" ref="AE51:AE82" si="24">IF(E51="","",ROUND(M51*1.04,2))</f>
        <v/>
      </c>
      <c r="AF51" s="89">
        <f>ROUND(Att1SmallCarriers[[#This Row],[2023 Maximum Government Contribution
Self]]*(1+$B$14),2)</f>
        <v>259.72000000000003</v>
      </c>
      <c r="AG51" s="89">
        <f>ROUND(Att1SmallCarriers[[#This Row],[2023 Maximum Government Contribution
Self+1]]*(1+$B$14),2)</f>
        <v>560.52</v>
      </c>
      <c r="AH51" s="89">
        <f>ROUND(Att1SmallCarriers[[#This Row],[2023 Maximum Government Contribution
Family]]*(1+$B$14),2)</f>
        <v>611.41999999999996</v>
      </c>
      <c r="AI51" s="217" t="str">
        <f>IF(E51="","",MIN(Att1SmallCarriers[[#This Row],[ESTIMATED 2024 Maximum Government Contribution
Self]],ROUND(AC51*0.75,2)))</f>
        <v/>
      </c>
      <c r="AJ51" s="217" t="str">
        <f>IF(E51="","",MIN(Att1SmallCarriers[[#This Row],[ESTIMATED 2024 Maximum Government Contribution
Self+1]],ROUND(AD51*0.75,2)))</f>
        <v/>
      </c>
      <c r="AK51" s="217" t="str">
        <f>IF(E51="","",MIN(Att1SmallCarriers[[#This Row],[ESTIMATED 2024 Maximum Government Contribution
Family]],ROUND(AE51*0.75,2)))</f>
        <v/>
      </c>
      <c r="AL51" s="38" t="str">
        <f t="shared" ref="AL51:AL82" si="25">IF(E51="","",AC51-AI51)</f>
        <v/>
      </c>
      <c r="AM51" s="38" t="str">
        <f t="shared" ref="AM51:AM82" si="26">IF(E51="","",AD51-AJ51)</f>
        <v/>
      </c>
      <c r="AN51" s="38" t="str">
        <f t="shared" ref="AN51:AN82" si="27">IF(E51="","",AE51-AK51)</f>
        <v/>
      </c>
      <c r="AO51" s="218" t="str">
        <f t="shared" si="12"/>
        <v/>
      </c>
      <c r="AP51" s="218" t="str">
        <f t="shared" si="13"/>
        <v/>
      </c>
      <c r="AQ51" s="218" t="str">
        <f t="shared" si="14"/>
        <v/>
      </c>
    </row>
    <row r="52" spans="1:43" ht="18" customHeight="1" x14ac:dyDescent="0.35">
      <c r="E52" s="223"/>
      <c r="N52" s="40"/>
      <c r="O52" s="40"/>
      <c r="P52" s="40"/>
      <c r="Q52" s="39" t="str">
        <f t="shared" si="16"/>
        <v/>
      </c>
      <c r="R52" s="38" t="str">
        <f t="shared" si="17"/>
        <v/>
      </c>
      <c r="S52" s="38" t="str">
        <f t="shared" si="18"/>
        <v/>
      </c>
      <c r="T52" s="147">
        <v>259.72000000000003</v>
      </c>
      <c r="U52" s="147">
        <v>560.52</v>
      </c>
      <c r="V52" s="147">
        <v>611.41999999999996</v>
      </c>
      <c r="W52" s="38" t="str">
        <f t="shared" si="10"/>
        <v/>
      </c>
      <c r="X52" s="217" t="str">
        <f>IF(E52="","",IF(R52&gt;0,MIN(Att1SmallCarriers[[#This Row],[2023 Maximum Government Contribution
Self+1]],ROUND(R52*0.75,2)),"New Option"))</f>
        <v/>
      </c>
      <c r="Y52" s="217" t="str">
        <f>IF(E52="","",IF(S52&gt;0,MIN(Att1SmallCarriers[[#This Row],[2023 Maximum Government Contribution
Family]],ROUND(S52*0.75,2)),"New Option"))</f>
        <v/>
      </c>
      <c r="Z52" s="38" t="str">
        <f t="shared" si="19"/>
        <v/>
      </c>
      <c r="AA52" s="38" t="str">
        <f t="shared" si="20"/>
        <v/>
      </c>
      <c r="AB52" s="38" t="str">
        <f t="shared" si="21"/>
        <v/>
      </c>
      <c r="AC52" s="38" t="str">
        <f t="shared" si="22"/>
        <v/>
      </c>
      <c r="AD52" s="38" t="str">
        <f t="shared" si="23"/>
        <v/>
      </c>
      <c r="AE52" s="38" t="str">
        <f t="shared" si="24"/>
        <v/>
      </c>
      <c r="AF52" s="89">
        <f>ROUND(Att1SmallCarriers[[#This Row],[2023 Maximum Government Contribution
Self]]*(1+$B$14),2)</f>
        <v>259.72000000000003</v>
      </c>
      <c r="AG52" s="89">
        <f>ROUND(Att1SmallCarriers[[#This Row],[2023 Maximum Government Contribution
Self+1]]*(1+$B$14),2)</f>
        <v>560.52</v>
      </c>
      <c r="AH52" s="89">
        <f>ROUND(Att1SmallCarriers[[#This Row],[2023 Maximum Government Contribution
Family]]*(1+$B$14),2)</f>
        <v>611.41999999999996</v>
      </c>
      <c r="AI52" s="217" t="str">
        <f>IF(E52="","",MIN(Att1SmallCarriers[[#This Row],[ESTIMATED 2024 Maximum Government Contribution
Self]],ROUND(AC52*0.75,2)))</f>
        <v/>
      </c>
      <c r="AJ52" s="217" t="str">
        <f>IF(E52="","",MIN(Att1SmallCarriers[[#This Row],[ESTIMATED 2024 Maximum Government Contribution
Self+1]],ROUND(AD52*0.75,2)))</f>
        <v/>
      </c>
      <c r="AK52" s="217" t="str">
        <f>IF(E52="","",MIN(Att1SmallCarriers[[#This Row],[ESTIMATED 2024 Maximum Government Contribution
Family]],ROUND(AE52*0.75,2)))</f>
        <v/>
      </c>
      <c r="AL52" s="38" t="str">
        <f t="shared" si="25"/>
        <v/>
      </c>
      <c r="AM52" s="38" t="str">
        <f t="shared" si="26"/>
        <v/>
      </c>
      <c r="AN52" s="38" t="str">
        <f t="shared" si="27"/>
        <v/>
      </c>
      <c r="AO52" s="218" t="str">
        <f t="shared" si="12"/>
        <v/>
      </c>
      <c r="AP52" s="218" t="str">
        <f t="shared" si="13"/>
        <v/>
      </c>
      <c r="AQ52" s="218" t="str">
        <f t="shared" si="14"/>
        <v/>
      </c>
    </row>
    <row r="53" spans="1:43" ht="18" customHeight="1" x14ac:dyDescent="0.35">
      <c r="E53" s="223"/>
      <c r="N53" s="40"/>
      <c r="O53" s="40"/>
      <c r="P53" s="40"/>
      <c r="Q53" s="39" t="str">
        <f t="shared" si="16"/>
        <v/>
      </c>
      <c r="R53" s="38" t="str">
        <f t="shared" si="17"/>
        <v/>
      </c>
      <c r="S53" s="38" t="str">
        <f t="shared" si="18"/>
        <v/>
      </c>
      <c r="T53" s="147">
        <v>259.72000000000003</v>
      </c>
      <c r="U53" s="147">
        <v>560.52</v>
      </c>
      <c r="V53" s="147">
        <v>611.41999999999996</v>
      </c>
      <c r="W53" s="38" t="str">
        <f t="shared" si="10"/>
        <v/>
      </c>
      <c r="X53" s="217" t="str">
        <f>IF(E53="","",IF(R53&gt;0,MIN(Att1SmallCarriers[[#This Row],[2023 Maximum Government Contribution
Self+1]],ROUND(R53*0.75,2)),"New Option"))</f>
        <v/>
      </c>
      <c r="Y53" s="217" t="str">
        <f>IF(E53="","",IF(S53&gt;0,MIN(Att1SmallCarriers[[#This Row],[2023 Maximum Government Contribution
Family]],ROUND(S53*0.75,2)),"New Option"))</f>
        <v/>
      </c>
      <c r="Z53" s="38" t="str">
        <f t="shared" si="19"/>
        <v/>
      </c>
      <c r="AA53" s="38" t="str">
        <f t="shared" si="20"/>
        <v/>
      </c>
      <c r="AB53" s="38" t="str">
        <f t="shared" si="21"/>
        <v/>
      </c>
      <c r="AC53" s="38" t="str">
        <f t="shared" si="22"/>
        <v/>
      </c>
      <c r="AD53" s="38" t="str">
        <f t="shared" si="23"/>
        <v/>
      </c>
      <c r="AE53" s="38" t="str">
        <f t="shared" si="24"/>
        <v/>
      </c>
      <c r="AF53" s="89">
        <f>ROUND(Att1SmallCarriers[[#This Row],[2023 Maximum Government Contribution
Self]]*(1+$B$14),2)</f>
        <v>259.72000000000003</v>
      </c>
      <c r="AG53" s="89">
        <f>ROUND(Att1SmallCarriers[[#This Row],[2023 Maximum Government Contribution
Self+1]]*(1+$B$14),2)</f>
        <v>560.52</v>
      </c>
      <c r="AH53" s="89">
        <f>ROUND(Att1SmallCarriers[[#This Row],[2023 Maximum Government Contribution
Family]]*(1+$B$14),2)</f>
        <v>611.41999999999996</v>
      </c>
      <c r="AI53" s="217" t="str">
        <f>IF(E53="","",MIN(Att1SmallCarriers[[#This Row],[ESTIMATED 2024 Maximum Government Contribution
Self]],ROUND(AC53*0.75,2)))</f>
        <v/>
      </c>
      <c r="AJ53" s="217" t="str">
        <f>IF(E53="","",MIN(Att1SmallCarriers[[#This Row],[ESTIMATED 2024 Maximum Government Contribution
Self+1]],ROUND(AD53*0.75,2)))</f>
        <v/>
      </c>
      <c r="AK53" s="217" t="str">
        <f>IF(E53="","",MIN(Att1SmallCarriers[[#This Row],[ESTIMATED 2024 Maximum Government Contribution
Family]],ROUND(AE53*0.75,2)))</f>
        <v/>
      </c>
      <c r="AL53" s="38" t="str">
        <f t="shared" si="25"/>
        <v/>
      </c>
      <c r="AM53" s="38" t="str">
        <f t="shared" si="26"/>
        <v/>
      </c>
      <c r="AN53" s="38" t="str">
        <f t="shared" si="27"/>
        <v/>
      </c>
      <c r="AO53" s="218" t="str">
        <f t="shared" si="12"/>
        <v/>
      </c>
      <c r="AP53" s="218" t="str">
        <f t="shared" si="13"/>
        <v/>
      </c>
      <c r="AQ53" s="218" t="str">
        <f t="shared" si="14"/>
        <v/>
      </c>
    </row>
    <row r="54" spans="1:43" ht="18" customHeight="1" x14ac:dyDescent="0.35">
      <c r="E54" s="223"/>
      <c r="N54" s="40"/>
      <c r="O54" s="40"/>
      <c r="P54" s="40"/>
      <c r="Q54" s="39" t="str">
        <f t="shared" si="16"/>
        <v/>
      </c>
      <c r="R54" s="38" t="str">
        <f t="shared" si="17"/>
        <v/>
      </c>
      <c r="S54" s="38" t="str">
        <f t="shared" si="18"/>
        <v/>
      </c>
      <c r="T54" s="147">
        <v>259.72000000000003</v>
      </c>
      <c r="U54" s="147">
        <v>560.52</v>
      </c>
      <c r="V54" s="147">
        <v>611.41999999999996</v>
      </c>
      <c r="W54" s="38" t="str">
        <f t="shared" si="10"/>
        <v/>
      </c>
      <c r="X54" s="217" t="str">
        <f>IF(E54="","",IF(R54&gt;0,MIN(Att1SmallCarriers[[#This Row],[2023 Maximum Government Contribution
Self+1]],ROUND(R54*0.75,2)),"New Option"))</f>
        <v/>
      </c>
      <c r="Y54" s="217" t="str">
        <f>IF(E54="","",IF(S54&gt;0,MIN(Att1SmallCarriers[[#This Row],[2023 Maximum Government Contribution
Family]],ROUND(S54*0.75,2)),"New Option"))</f>
        <v/>
      </c>
      <c r="Z54" s="38" t="str">
        <f t="shared" si="19"/>
        <v/>
      </c>
      <c r="AA54" s="38" t="str">
        <f t="shared" si="20"/>
        <v/>
      </c>
      <c r="AB54" s="38" t="str">
        <f t="shared" si="21"/>
        <v/>
      </c>
      <c r="AC54" s="38" t="str">
        <f t="shared" si="22"/>
        <v/>
      </c>
      <c r="AD54" s="38" t="str">
        <f t="shared" si="23"/>
        <v/>
      </c>
      <c r="AE54" s="38" t="str">
        <f t="shared" si="24"/>
        <v/>
      </c>
      <c r="AF54" s="89">
        <f>ROUND(Att1SmallCarriers[[#This Row],[2023 Maximum Government Contribution
Self]]*(1+$B$14),2)</f>
        <v>259.72000000000003</v>
      </c>
      <c r="AG54" s="89">
        <f>ROUND(Att1SmallCarriers[[#This Row],[2023 Maximum Government Contribution
Self+1]]*(1+$B$14),2)</f>
        <v>560.52</v>
      </c>
      <c r="AH54" s="89">
        <f>ROUND(Att1SmallCarriers[[#This Row],[2023 Maximum Government Contribution
Family]]*(1+$B$14),2)</f>
        <v>611.41999999999996</v>
      </c>
      <c r="AI54" s="217" t="str">
        <f>IF(E54="","",MIN(Att1SmallCarriers[[#This Row],[ESTIMATED 2024 Maximum Government Contribution
Self]],ROUND(AC54*0.75,2)))</f>
        <v/>
      </c>
      <c r="AJ54" s="217" t="str">
        <f>IF(E54="","",MIN(Att1SmallCarriers[[#This Row],[ESTIMATED 2024 Maximum Government Contribution
Self+1]],ROUND(AD54*0.75,2)))</f>
        <v/>
      </c>
      <c r="AK54" s="217" t="str">
        <f>IF(E54="","",MIN(Att1SmallCarriers[[#This Row],[ESTIMATED 2024 Maximum Government Contribution
Family]],ROUND(AE54*0.75,2)))</f>
        <v/>
      </c>
      <c r="AL54" s="38" t="str">
        <f t="shared" si="25"/>
        <v/>
      </c>
      <c r="AM54" s="38" t="str">
        <f t="shared" si="26"/>
        <v/>
      </c>
      <c r="AN54" s="38" t="str">
        <f t="shared" si="27"/>
        <v/>
      </c>
      <c r="AO54" s="218" t="str">
        <f t="shared" si="12"/>
        <v/>
      </c>
      <c r="AP54" s="218" t="str">
        <f t="shared" si="13"/>
        <v/>
      </c>
      <c r="AQ54" s="218" t="str">
        <f t="shared" si="14"/>
        <v/>
      </c>
    </row>
    <row r="55" spans="1:43" ht="18" customHeight="1" x14ac:dyDescent="0.35">
      <c r="E55" s="223"/>
      <c r="N55" s="40"/>
      <c r="O55" s="40"/>
      <c r="P55" s="40"/>
      <c r="Q55" s="39" t="str">
        <f t="shared" si="16"/>
        <v/>
      </c>
      <c r="R55" s="38" t="str">
        <f t="shared" si="17"/>
        <v/>
      </c>
      <c r="S55" s="38" t="str">
        <f t="shared" si="18"/>
        <v/>
      </c>
      <c r="T55" s="147">
        <v>259.72000000000003</v>
      </c>
      <c r="U55" s="147">
        <v>560.52</v>
      </c>
      <c r="V55" s="147">
        <v>611.41999999999996</v>
      </c>
      <c r="W55" s="38" t="str">
        <f t="shared" si="10"/>
        <v/>
      </c>
      <c r="X55" s="217" t="str">
        <f>IF(E55="","",IF(R55&gt;0,MIN(Att1SmallCarriers[[#This Row],[2023 Maximum Government Contribution
Self+1]],ROUND(R55*0.75,2)),"New Option"))</f>
        <v/>
      </c>
      <c r="Y55" s="217" t="str">
        <f>IF(E55="","",IF(S55&gt;0,MIN(Att1SmallCarriers[[#This Row],[2023 Maximum Government Contribution
Family]],ROUND(S55*0.75,2)),"New Option"))</f>
        <v/>
      </c>
      <c r="Z55" s="38" t="str">
        <f t="shared" si="19"/>
        <v/>
      </c>
      <c r="AA55" s="38" t="str">
        <f t="shared" si="20"/>
        <v/>
      </c>
      <c r="AB55" s="38" t="str">
        <f t="shared" si="21"/>
        <v/>
      </c>
      <c r="AC55" s="38" t="str">
        <f t="shared" si="22"/>
        <v/>
      </c>
      <c r="AD55" s="38" t="str">
        <f t="shared" si="23"/>
        <v/>
      </c>
      <c r="AE55" s="38" t="str">
        <f t="shared" si="24"/>
        <v/>
      </c>
      <c r="AF55" s="89">
        <f>ROUND(Att1SmallCarriers[[#This Row],[2023 Maximum Government Contribution
Self]]*(1+$B$14),2)</f>
        <v>259.72000000000003</v>
      </c>
      <c r="AG55" s="89">
        <f>ROUND(Att1SmallCarriers[[#This Row],[2023 Maximum Government Contribution
Self+1]]*(1+$B$14),2)</f>
        <v>560.52</v>
      </c>
      <c r="AH55" s="89">
        <f>ROUND(Att1SmallCarriers[[#This Row],[2023 Maximum Government Contribution
Family]]*(1+$B$14),2)</f>
        <v>611.41999999999996</v>
      </c>
      <c r="AI55" s="217" t="str">
        <f>IF(E55="","",MIN(Att1SmallCarriers[[#This Row],[ESTIMATED 2024 Maximum Government Contribution
Self]],ROUND(AC55*0.75,2)))</f>
        <v/>
      </c>
      <c r="AJ55" s="217" t="str">
        <f>IF(E55="","",MIN(Att1SmallCarriers[[#This Row],[ESTIMATED 2024 Maximum Government Contribution
Self+1]],ROUND(AD55*0.75,2)))</f>
        <v/>
      </c>
      <c r="AK55" s="217" t="str">
        <f>IF(E55="","",MIN(Att1SmallCarriers[[#This Row],[ESTIMATED 2024 Maximum Government Contribution
Family]],ROUND(AE55*0.75,2)))</f>
        <v/>
      </c>
      <c r="AL55" s="38" t="str">
        <f t="shared" si="25"/>
        <v/>
      </c>
      <c r="AM55" s="38" t="str">
        <f t="shared" si="26"/>
        <v/>
      </c>
      <c r="AN55" s="38" t="str">
        <f t="shared" si="27"/>
        <v/>
      </c>
      <c r="AO55" s="218" t="str">
        <f t="shared" si="12"/>
        <v/>
      </c>
      <c r="AP55" s="218" t="str">
        <f t="shared" si="13"/>
        <v/>
      </c>
      <c r="AQ55" s="218" t="str">
        <f t="shared" si="14"/>
        <v/>
      </c>
    </row>
    <row r="56" spans="1:43" ht="18" customHeight="1" x14ac:dyDescent="0.35">
      <c r="E56" s="223"/>
      <c r="N56" s="40"/>
      <c r="O56" s="40"/>
      <c r="P56" s="40"/>
      <c r="Q56" s="39" t="str">
        <f t="shared" si="16"/>
        <v/>
      </c>
      <c r="R56" s="38" t="str">
        <f t="shared" si="17"/>
        <v/>
      </c>
      <c r="S56" s="38" t="str">
        <f t="shared" si="18"/>
        <v/>
      </c>
      <c r="T56" s="147">
        <v>259.72000000000003</v>
      </c>
      <c r="U56" s="147">
        <v>560.52</v>
      </c>
      <c r="V56" s="147">
        <v>611.41999999999996</v>
      </c>
      <c r="W56" s="38" t="str">
        <f t="shared" si="10"/>
        <v/>
      </c>
      <c r="X56" s="217" t="str">
        <f>IF(E56="","",IF(R56&gt;0,MIN(Att1SmallCarriers[[#This Row],[2023 Maximum Government Contribution
Self+1]],ROUND(R56*0.75,2)),"New Option"))</f>
        <v/>
      </c>
      <c r="Y56" s="217" t="str">
        <f>IF(E56="","",IF(S56&gt;0,MIN(Att1SmallCarriers[[#This Row],[2023 Maximum Government Contribution
Family]],ROUND(S56*0.75,2)),"New Option"))</f>
        <v/>
      </c>
      <c r="Z56" s="38" t="str">
        <f t="shared" si="19"/>
        <v/>
      </c>
      <c r="AA56" s="38" t="str">
        <f t="shared" si="20"/>
        <v/>
      </c>
      <c r="AB56" s="38" t="str">
        <f t="shared" si="21"/>
        <v/>
      </c>
      <c r="AC56" s="38" t="str">
        <f t="shared" si="22"/>
        <v/>
      </c>
      <c r="AD56" s="38" t="str">
        <f t="shared" si="23"/>
        <v/>
      </c>
      <c r="AE56" s="38" t="str">
        <f t="shared" si="24"/>
        <v/>
      </c>
      <c r="AF56" s="89">
        <f>ROUND(Att1SmallCarriers[[#This Row],[2023 Maximum Government Contribution
Self]]*(1+$B$14),2)</f>
        <v>259.72000000000003</v>
      </c>
      <c r="AG56" s="89">
        <f>ROUND(Att1SmallCarriers[[#This Row],[2023 Maximum Government Contribution
Self+1]]*(1+$B$14),2)</f>
        <v>560.52</v>
      </c>
      <c r="AH56" s="89">
        <f>ROUND(Att1SmallCarriers[[#This Row],[2023 Maximum Government Contribution
Family]]*(1+$B$14),2)</f>
        <v>611.41999999999996</v>
      </c>
      <c r="AI56" s="217" t="str">
        <f>IF(E56="","",MIN(Att1SmallCarriers[[#This Row],[ESTIMATED 2024 Maximum Government Contribution
Self]],ROUND(AC56*0.75,2)))</f>
        <v/>
      </c>
      <c r="AJ56" s="217" t="str">
        <f>IF(E56="","",MIN(Att1SmallCarriers[[#This Row],[ESTIMATED 2024 Maximum Government Contribution
Self+1]],ROUND(AD56*0.75,2)))</f>
        <v/>
      </c>
      <c r="AK56" s="217" t="str">
        <f>IF(E56="","",MIN(Att1SmallCarriers[[#This Row],[ESTIMATED 2024 Maximum Government Contribution
Family]],ROUND(AE56*0.75,2)))</f>
        <v/>
      </c>
      <c r="AL56" s="38" t="str">
        <f t="shared" si="25"/>
        <v/>
      </c>
      <c r="AM56" s="38" t="str">
        <f t="shared" si="26"/>
        <v/>
      </c>
      <c r="AN56" s="38" t="str">
        <f t="shared" si="27"/>
        <v/>
      </c>
      <c r="AO56" s="218" t="str">
        <f t="shared" si="12"/>
        <v/>
      </c>
      <c r="AP56" s="218" t="str">
        <f t="shared" si="13"/>
        <v/>
      </c>
      <c r="AQ56" s="218" t="str">
        <f t="shared" si="14"/>
        <v/>
      </c>
    </row>
    <row r="57" spans="1:43" ht="18" customHeight="1" x14ac:dyDescent="0.35">
      <c r="E57" s="223"/>
      <c r="N57" s="40"/>
      <c r="O57" s="40"/>
      <c r="P57" s="40"/>
      <c r="Q57" s="39" t="str">
        <f t="shared" si="16"/>
        <v/>
      </c>
      <c r="R57" s="38" t="str">
        <f t="shared" si="17"/>
        <v/>
      </c>
      <c r="S57" s="38" t="str">
        <f t="shared" si="18"/>
        <v/>
      </c>
      <c r="T57" s="147">
        <v>259.72000000000003</v>
      </c>
      <c r="U57" s="147">
        <v>560.52</v>
      </c>
      <c r="V57" s="147">
        <v>611.41999999999996</v>
      </c>
      <c r="W57" s="38" t="str">
        <f t="shared" si="10"/>
        <v/>
      </c>
      <c r="X57" s="217" t="str">
        <f>IF(E57="","",IF(R57&gt;0,MIN(Att1SmallCarriers[[#This Row],[2023 Maximum Government Contribution
Self+1]],ROUND(R57*0.75,2)),"New Option"))</f>
        <v/>
      </c>
      <c r="Y57" s="217" t="str">
        <f>IF(E57="","",IF(S57&gt;0,MIN(Att1SmallCarriers[[#This Row],[2023 Maximum Government Contribution
Family]],ROUND(S57*0.75,2)),"New Option"))</f>
        <v/>
      </c>
      <c r="Z57" s="38" t="str">
        <f t="shared" si="19"/>
        <v/>
      </c>
      <c r="AA57" s="38" t="str">
        <f t="shared" si="20"/>
        <v/>
      </c>
      <c r="AB57" s="38" t="str">
        <f t="shared" si="21"/>
        <v/>
      </c>
      <c r="AC57" s="38" t="str">
        <f t="shared" si="22"/>
        <v/>
      </c>
      <c r="AD57" s="38" t="str">
        <f t="shared" si="23"/>
        <v/>
      </c>
      <c r="AE57" s="38" t="str">
        <f t="shared" si="24"/>
        <v/>
      </c>
      <c r="AF57" s="89">
        <f>ROUND(Att1SmallCarriers[[#This Row],[2023 Maximum Government Contribution
Self]]*(1+$B$14),2)</f>
        <v>259.72000000000003</v>
      </c>
      <c r="AG57" s="89">
        <f>ROUND(Att1SmallCarriers[[#This Row],[2023 Maximum Government Contribution
Self+1]]*(1+$B$14),2)</f>
        <v>560.52</v>
      </c>
      <c r="AH57" s="89">
        <f>ROUND(Att1SmallCarriers[[#This Row],[2023 Maximum Government Contribution
Family]]*(1+$B$14),2)</f>
        <v>611.41999999999996</v>
      </c>
      <c r="AI57" s="217" t="str">
        <f>IF(E57="","",MIN(Att1SmallCarriers[[#This Row],[ESTIMATED 2024 Maximum Government Contribution
Self]],ROUND(AC57*0.75,2)))</f>
        <v/>
      </c>
      <c r="AJ57" s="217" t="str">
        <f>IF(E57="","",MIN(Att1SmallCarriers[[#This Row],[ESTIMATED 2024 Maximum Government Contribution
Self+1]],ROUND(AD57*0.75,2)))</f>
        <v/>
      </c>
      <c r="AK57" s="217" t="str">
        <f>IF(E57="","",MIN(Att1SmallCarriers[[#This Row],[ESTIMATED 2024 Maximum Government Contribution
Family]],ROUND(AE57*0.75,2)))</f>
        <v/>
      </c>
      <c r="AL57" s="38" t="str">
        <f t="shared" si="25"/>
        <v/>
      </c>
      <c r="AM57" s="38" t="str">
        <f t="shared" si="26"/>
        <v/>
      </c>
      <c r="AN57" s="38" t="str">
        <f t="shared" si="27"/>
        <v/>
      </c>
      <c r="AO57" s="218" t="str">
        <f t="shared" si="12"/>
        <v/>
      </c>
      <c r="AP57" s="218" t="str">
        <f t="shared" si="13"/>
        <v/>
      </c>
      <c r="AQ57" s="218" t="str">
        <f t="shared" si="14"/>
        <v/>
      </c>
    </row>
    <row r="58" spans="1:43" ht="18" customHeight="1" x14ac:dyDescent="0.35">
      <c r="E58" s="223"/>
      <c r="N58" s="40"/>
      <c r="O58" s="40"/>
      <c r="P58" s="40"/>
      <c r="Q58" s="39" t="str">
        <f t="shared" si="16"/>
        <v/>
      </c>
      <c r="R58" s="38" t="str">
        <f t="shared" si="17"/>
        <v/>
      </c>
      <c r="S58" s="38" t="str">
        <f t="shared" si="18"/>
        <v/>
      </c>
      <c r="T58" s="147">
        <v>259.72000000000003</v>
      </c>
      <c r="U58" s="147">
        <v>560.52</v>
      </c>
      <c r="V58" s="147">
        <v>611.41999999999996</v>
      </c>
      <c r="W58" s="38" t="str">
        <f t="shared" si="10"/>
        <v/>
      </c>
      <c r="X58" s="217" t="str">
        <f>IF(E58="","",IF(R58&gt;0,MIN(Att1SmallCarriers[[#This Row],[2023 Maximum Government Contribution
Self+1]],ROUND(R58*0.75,2)),"New Option"))</f>
        <v/>
      </c>
      <c r="Y58" s="217" t="str">
        <f>IF(E58="","",IF(S58&gt;0,MIN(Att1SmallCarriers[[#This Row],[2023 Maximum Government Contribution
Family]],ROUND(S58*0.75,2)),"New Option"))</f>
        <v/>
      </c>
      <c r="Z58" s="38" t="str">
        <f t="shared" si="19"/>
        <v/>
      </c>
      <c r="AA58" s="38" t="str">
        <f t="shared" si="20"/>
        <v/>
      </c>
      <c r="AB58" s="38" t="str">
        <f t="shared" si="21"/>
        <v/>
      </c>
      <c r="AC58" s="38" t="str">
        <f t="shared" si="22"/>
        <v/>
      </c>
      <c r="AD58" s="38" t="str">
        <f t="shared" si="23"/>
        <v/>
      </c>
      <c r="AE58" s="38" t="str">
        <f t="shared" si="24"/>
        <v/>
      </c>
      <c r="AF58" s="89">
        <f>ROUND(Att1SmallCarriers[[#This Row],[2023 Maximum Government Contribution
Self]]*(1+$B$14),2)</f>
        <v>259.72000000000003</v>
      </c>
      <c r="AG58" s="89">
        <f>ROUND(Att1SmallCarriers[[#This Row],[2023 Maximum Government Contribution
Self+1]]*(1+$B$14),2)</f>
        <v>560.52</v>
      </c>
      <c r="AH58" s="89">
        <f>ROUND(Att1SmallCarriers[[#This Row],[2023 Maximum Government Contribution
Family]]*(1+$B$14),2)</f>
        <v>611.41999999999996</v>
      </c>
      <c r="AI58" s="217" t="str">
        <f>IF(E58="","",MIN(Att1SmallCarriers[[#This Row],[ESTIMATED 2024 Maximum Government Contribution
Self]],ROUND(AC58*0.75,2)))</f>
        <v/>
      </c>
      <c r="AJ58" s="217" t="str">
        <f>IF(E58="","",MIN(Att1SmallCarriers[[#This Row],[ESTIMATED 2024 Maximum Government Contribution
Self+1]],ROUND(AD58*0.75,2)))</f>
        <v/>
      </c>
      <c r="AK58" s="217" t="str">
        <f>IF(E58="","",MIN(Att1SmallCarriers[[#This Row],[ESTIMATED 2024 Maximum Government Contribution
Family]],ROUND(AE58*0.75,2)))</f>
        <v/>
      </c>
      <c r="AL58" s="38" t="str">
        <f t="shared" si="25"/>
        <v/>
      </c>
      <c r="AM58" s="38" t="str">
        <f t="shared" si="26"/>
        <v/>
      </c>
      <c r="AN58" s="38" t="str">
        <f t="shared" si="27"/>
        <v/>
      </c>
      <c r="AO58" s="218" t="str">
        <f t="shared" si="12"/>
        <v/>
      </c>
      <c r="AP58" s="218" t="str">
        <f t="shared" si="13"/>
        <v/>
      </c>
      <c r="AQ58" s="218" t="str">
        <f t="shared" si="14"/>
        <v/>
      </c>
    </row>
    <row r="59" spans="1:43" ht="15.5" x14ac:dyDescent="0.35">
      <c r="E59" s="223"/>
      <c r="N59" s="40"/>
      <c r="O59" s="40"/>
      <c r="P59" s="40"/>
      <c r="Q59" s="39" t="str">
        <f t="shared" si="16"/>
        <v/>
      </c>
      <c r="R59" s="38" t="str">
        <f t="shared" si="17"/>
        <v/>
      </c>
      <c r="S59" s="38" t="str">
        <f t="shared" si="18"/>
        <v/>
      </c>
      <c r="T59" s="147">
        <v>259.72000000000003</v>
      </c>
      <c r="U59" s="147">
        <v>560.52</v>
      </c>
      <c r="V59" s="147">
        <v>611.41999999999996</v>
      </c>
      <c r="W59" s="38" t="str">
        <f t="shared" si="10"/>
        <v/>
      </c>
      <c r="X59" s="217" t="str">
        <f>IF(E59="","",IF(R59&gt;0,MIN(Att1SmallCarriers[[#This Row],[2023 Maximum Government Contribution
Self+1]],ROUND(R59*0.75,2)),"New Option"))</f>
        <v/>
      </c>
      <c r="Y59" s="217" t="str">
        <f>IF(E59="","",IF(S59&gt;0,MIN(Att1SmallCarriers[[#This Row],[2023 Maximum Government Contribution
Family]],ROUND(S59*0.75,2)),"New Option"))</f>
        <v/>
      </c>
      <c r="Z59" s="38" t="str">
        <f t="shared" si="19"/>
        <v/>
      </c>
      <c r="AA59" s="38" t="str">
        <f t="shared" si="20"/>
        <v/>
      </c>
      <c r="AB59" s="38" t="str">
        <f t="shared" si="21"/>
        <v/>
      </c>
      <c r="AC59" s="38" t="str">
        <f t="shared" si="22"/>
        <v/>
      </c>
      <c r="AD59" s="38" t="str">
        <f t="shared" si="23"/>
        <v/>
      </c>
      <c r="AE59" s="38" t="str">
        <f t="shared" si="24"/>
        <v/>
      </c>
      <c r="AF59" s="89">
        <f>ROUND(Att1SmallCarriers[[#This Row],[2023 Maximum Government Contribution
Self]]*(1+$B$14),2)</f>
        <v>259.72000000000003</v>
      </c>
      <c r="AG59" s="89">
        <f>ROUND(Att1SmallCarriers[[#This Row],[2023 Maximum Government Contribution
Self+1]]*(1+$B$14),2)</f>
        <v>560.52</v>
      </c>
      <c r="AH59" s="89">
        <f>ROUND(Att1SmallCarriers[[#This Row],[2023 Maximum Government Contribution
Family]]*(1+$B$14),2)</f>
        <v>611.41999999999996</v>
      </c>
      <c r="AI59" s="217" t="str">
        <f>IF(E59="","",MIN(Att1SmallCarriers[[#This Row],[ESTIMATED 2024 Maximum Government Contribution
Self]],ROUND(AC59*0.75,2)))</f>
        <v/>
      </c>
      <c r="AJ59" s="217" t="str">
        <f>IF(E59="","",MIN(Att1SmallCarriers[[#This Row],[ESTIMATED 2024 Maximum Government Contribution
Self+1]],ROUND(AD59*0.75,2)))</f>
        <v/>
      </c>
      <c r="AK59" s="217" t="str">
        <f>IF(E59="","",MIN(Att1SmallCarriers[[#This Row],[ESTIMATED 2024 Maximum Government Contribution
Family]],ROUND(AE59*0.75,2)))</f>
        <v/>
      </c>
      <c r="AL59" s="38" t="str">
        <f t="shared" si="25"/>
        <v/>
      </c>
      <c r="AM59" s="38" t="str">
        <f t="shared" si="26"/>
        <v/>
      </c>
      <c r="AN59" s="38" t="str">
        <f t="shared" si="27"/>
        <v/>
      </c>
      <c r="AO59" s="218" t="str">
        <f t="shared" si="12"/>
        <v/>
      </c>
      <c r="AP59" s="218" t="str">
        <f t="shared" si="13"/>
        <v/>
      </c>
      <c r="AQ59" s="218" t="str">
        <f t="shared" si="14"/>
        <v/>
      </c>
    </row>
    <row r="60" spans="1:43" ht="15.5" x14ac:dyDescent="0.35">
      <c r="E60" s="223"/>
      <c r="N60" s="40"/>
      <c r="O60" s="40"/>
      <c r="P60" s="40"/>
      <c r="Q60" s="39" t="str">
        <f t="shared" si="16"/>
        <v/>
      </c>
      <c r="R60" s="38" t="str">
        <f t="shared" si="17"/>
        <v/>
      </c>
      <c r="S60" s="38" t="str">
        <f t="shared" si="18"/>
        <v/>
      </c>
      <c r="T60" s="147">
        <v>259.72000000000003</v>
      </c>
      <c r="U60" s="147">
        <v>560.52</v>
      </c>
      <c r="V60" s="147">
        <v>611.41999999999996</v>
      </c>
      <c r="W60" s="38" t="str">
        <f t="shared" si="10"/>
        <v/>
      </c>
      <c r="X60" s="217" t="str">
        <f>IF(E60="","",IF(R60&gt;0,MIN(Att1SmallCarriers[[#This Row],[2023 Maximum Government Contribution
Self+1]],ROUND(R60*0.75,2)),"New Option"))</f>
        <v/>
      </c>
      <c r="Y60" s="217" t="str">
        <f>IF(E60="","",IF(S60&gt;0,MIN(Att1SmallCarriers[[#This Row],[2023 Maximum Government Contribution
Family]],ROUND(S60*0.75,2)),"New Option"))</f>
        <v/>
      </c>
      <c r="Z60" s="38" t="str">
        <f t="shared" si="19"/>
        <v/>
      </c>
      <c r="AA60" s="38" t="str">
        <f t="shared" si="20"/>
        <v/>
      </c>
      <c r="AB60" s="38" t="str">
        <f t="shared" si="21"/>
        <v/>
      </c>
      <c r="AC60" s="38" t="str">
        <f t="shared" si="22"/>
        <v/>
      </c>
      <c r="AD60" s="38" t="str">
        <f t="shared" si="23"/>
        <v/>
      </c>
      <c r="AE60" s="38" t="str">
        <f t="shared" si="24"/>
        <v/>
      </c>
      <c r="AF60" s="89">
        <f>ROUND(Att1SmallCarriers[[#This Row],[2023 Maximum Government Contribution
Self]]*(1+$B$14),2)</f>
        <v>259.72000000000003</v>
      </c>
      <c r="AG60" s="89">
        <f>ROUND(Att1SmallCarriers[[#This Row],[2023 Maximum Government Contribution
Self+1]]*(1+$B$14),2)</f>
        <v>560.52</v>
      </c>
      <c r="AH60" s="89">
        <f>ROUND(Att1SmallCarriers[[#This Row],[2023 Maximum Government Contribution
Family]]*(1+$B$14),2)</f>
        <v>611.41999999999996</v>
      </c>
      <c r="AI60" s="217" t="str">
        <f>IF(E60="","",MIN(Att1SmallCarriers[[#This Row],[ESTIMATED 2024 Maximum Government Contribution
Self]],ROUND(AC60*0.75,2)))</f>
        <v/>
      </c>
      <c r="AJ60" s="217" t="str">
        <f>IF(E60="","",MIN(Att1SmallCarriers[[#This Row],[ESTIMATED 2024 Maximum Government Contribution
Self+1]],ROUND(AD60*0.75,2)))</f>
        <v/>
      </c>
      <c r="AK60" s="217" t="str">
        <f>IF(E60="","",MIN(Att1SmallCarriers[[#This Row],[ESTIMATED 2024 Maximum Government Contribution
Family]],ROUND(AE60*0.75,2)))</f>
        <v/>
      </c>
      <c r="AL60" s="38" t="str">
        <f t="shared" si="25"/>
        <v/>
      </c>
      <c r="AM60" s="38" t="str">
        <f t="shared" si="26"/>
        <v/>
      </c>
      <c r="AN60" s="38" t="str">
        <f t="shared" si="27"/>
        <v/>
      </c>
      <c r="AO60" s="218" t="str">
        <f t="shared" si="12"/>
        <v/>
      </c>
      <c r="AP60" s="218" t="str">
        <f t="shared" si="13"/>
        <v/>
      </c>
      <c r="AQ60" s="218" t="str">
        <f t="shared" si="14"/>
        <v/>
      </c>
    </row>
    <row r="61" spans="1:43" ht="15.5" x14ac:dyDescent="0.35">
      <c r="E61" s="223"/>
      <c r="N61" s="40"/>
      <c r="O61" s="40"/>
      <c r="P61" s="40"/>
      <c r="Q61" s="39" t="str">
        <f t="shared" si="16"/>
        <v/>
      </c>
      <c r="R61" s="38" t="str">
        <f t="shared" si="17"/>
        <v/>
      </c>
      <c r="S61" s="38" t="str">
        <f t="shared" si="18"/>
        <v/>
      </c>
      <c r="T61" s="147">
        <v>259.72000000000003</v>
      </c>
      <c r="U61" s="147">
        <v>560.52</v>
      </c>
      <c r="V61" s="147">
        <v>611.41999999999996</v>
      </c>
      <c r="W61" s="38" t="str">
        <f t="shared" si="10"/>
        <v/>
      </c>
      <c r="X61" s="217" t="str">
        <f>IF(E61="","",IF(R61&gt;0,MIN(Att1SmallCarriers[[#This Row],[2023 Maximum Government Contribution
Self+1]],ROUND(R61*0.75,2)),"New Option"))</f>
        <v/>
      </c>
      <c r="Y61" s="217" t="str">
        <f>IF(E61="","",IF(S61&gt;0,MIN(Att1SmallCarriers[[#This Row],[2023 Maximum Government Contribution
Family]],ROUND(S61*0.75,2)),"New Option"))</f>
        <v/>
      </c>
      <c r="Z61" s="38" t="str">
        <f t="shared" si="19"/>
        <v/>
      </c>
      <c r="AA61" s="38" t="str">
        <f t="shared" si="20"/>
        <v/>
      </c>
      <c r="AB61" s="38" t="str">
        <f t="shared" si="21"/>
        <v/>
      </c>
      <c r="AC61" s="38" t="str">
        <f t="shared" si="22"/>
        <v/>
      </c>
      <c r="AD61" s="38" t="str">
        <f t="shared" si="23"/>
        <v/>
      </c>
      <c r="AE61" s="38" t="str">
        <f t="shared" si="24"/>
        <v/>
      </c>
      <c r="AF61" s="89">
        <f>ROUND(Att1SmallCarriers[[#This Row],[2023 Maximum Government Contribution
Self]]*(1+$B$14),2)</f>
        <v>259.72000000000003</v>
      </c>
      <c r="AG61" s="89">
        <f>ROUND(Att1SmallCarriers[[#This Row],[2023 Maximum Government Contribution
Self+1]]*(1+$B$14),2)</f>
        <v>560.52</v>
      </c>
      <c r="AH61" s="89">
        <f>ROUND(Att1SmallCarriers[[#This Row],[2023 Maximum Government Contribution
Family]]*(1+$B$14),2)</f>
        <v>611.41999999999996</v>
      </c>
      <c r="AI61" s="217" t="str">
        <f>IF(E61="","",MIN(Att1SmallCarriers[[#This Row],[ESTIMATED 2024 Maximum Government Contribution
Self]],ROUND(AC61*0.75,2)))</f>
        <v/>
      </c>
      <c r="AJ61" s="217" t="str">
        <f>IF(E61="","",MIN(Att1SmallCarriers[[#This Row],[ESTIMATED 2024 Maximum Government Contribution
Self+1]],ROUND(AD61*0.75,2)))</f>
        <v/>
      </c>
      <c r="AK61" s="217" t="str">
        <f>IF(E61="","",MIN(Att1SmallCarriers[[#This Row],[ESTIMATED 2024 Maximum Government Contribution
Family]],ROUND(AE61*0.75,2)))</f>
        <v/>
      </c>
      <c r="AL61" s="38" t="str">
        <f t="shared" si="25"/>
        <v/>
      </c>
      <c r="AM61" s="38" t="str">
        <f t="shared" si="26"/>
        <v/>
      </c>
      <c r="AN61" s="38" t="str">
        <f t="shared" si="27"/>
        <v/>
      </c>
      <c r="AO61" s="218" t="str">
        <f t="shared" si="12"/>
        <v/>
      </c>
      <c r="AP61" s="218" t="str">
        <f t="shared" si="13"/>
        <v/>
      </c>
      <c r="AQ61" s="218" t="str">
        <f t="shared" si="14"/>
        <v/>
      </c>
    </row>
    <row r="62" spans="1:43" ht="15.5" x14ac:dyDescent="0.35">
      <c r="E62" s="223"/>
      <c r="N62" s="40"/>
      <c r="O62" s="40"/>
      <c r="P62" s="40"/>
      <c r="Q62" s="39" t="str">
        <f t="shared" si="16"/>
        <v/>
      </c>
      <c r="R62" s="38" t="str">
        <f t="shared" si="17"/>
        <v/>
      </c>
      <c r="S62" s="38" t="str">
        <f t="shared" si="18"/>
        <v/>
      </c>
      <c r="T62" s="147">
        <v>259.72000000000003</v>
      </c>
      <c r="U62" s="147">
        <v>560.52</v>
      </c>
      <c r="V62" s="147">
        <v>611.41999999999996</v>
      </c>
      <c r="W62" s="38" t="str">
        <f t="shared" si="10"/>
        <v/>
      </c>
      <c r="X62" s="217" t="str">
        <f>IF(E62="","",IF(R62&gt;0,MIN(Att1SmallCarriers[[#This Row],[2023 Maximum Government Contribution
Self+1]],ROUND(R62*0.75,2)),"New Option"))</f>
        <v/>
      </c>
      <c r="Y62" s="217" t="str">
        <f>IF(E62="","",IF(S62&gt;0,MIN(Att1SmallCarriers[[#This Row],[2023 Maximum Government Contribution
Family]],ROUND(S62*0.75,2)),"New Option"))</f>
        <v/>
      </c>
      <c r="Z62" s="38" t="str">
        <f t="shared" si="19"/>
        <v/>
      </c>
      <c r="AA62" s="38" t="str">
        <f t="shared" si="20"/>
        <v/>
      </c>
      <c r="AB62" s="38" t="str">
        <f t="shared" si="21"/>
        <v/>
      </c>
      <c r="AC62" s="38" t="str">
        <f t="shared" si="22"/>
        <v/>
      </c>
      <c r="AD62" s="38" t="str">
        <f t="shared" si="23"/>
        <v/>
      </c>
      <c r="AE62" s="38" t="str">
        <f t="shared" si="24"/>
        <v/>
      </c>
      <c r="AF62" s="89">
        <f>ROUND(Att1SmallCarriers[[#This Row],[2023 Maximum Government Contribution
Self]]*(1+$B$14),2)</f>
        <v>259.72000000000003</v>
      </c>
      <c r="AG62" s="89">
        <f>ROUND(Att1SmallCarriers[[#This Row],[2023 Maximum Government Contribution
Self+1]]*(1+$B$14),2)</f>
        <v>560.52</v>
      </c>
      <c r="AH62" s="89">
        <f>ROUND(Att1SmallCarriers[[#This Row],[2023 Maximum Government Contribution
Family]]*(1+$B$14),2)</f>
        <v>611.41999999999996</v>
      </c>
      <c r="AI62" s="217" t="str">
        <f>IF(E62="","",MIN(Att1SmallCarriers[[#This Row],[ESTIMATED 2024 Maximum Government Contribution
Self]],ROUND(AC62*0.75,2)))</f>
        <v/>
      </c>
      <c r="AJ62" s="217" t="str">
        <f>IF(E62="","",MIN(Att1SmallCarriers[[#This Row],[ESTIMATED 2024 Maximum Government Contribution
Self+1]],ROUND(AD62*0.75,2)))</f>
        <v/>
      </c>
      <c r="AK62" s="217" t="str">
        <f>IF(E62="","",MIN(Att1SmallCarriers[[#This Row],[ESTIMATED 2024 Maximum Government Contribution
Family]],ROUND(AE62*0.75,2)))</f>
        <v/>
      </c>
      <c r="AL62" s="38" t="str">
        <f t="shared" si="25"/>
        <v/>
      </c>
      <c r="AM62" s="38" t="str">
        <f t="shared" si="26"/>
        <v/>
      </c>
      <c r="AN62" s="38" t="str">
        <f t="shared" si="27"/>
        <v/>
      </c>
      <c r="AO62" s="218" t="str">
        <f t="shared" si="12"/>
        <v/>
      </c>
      <c r="AP62" s="218" t="str">
        <f t="shared" si="13"/>
        <v/>
      </c>
      <c r="AQ62" s="218" t="str">
        <f t="shared" si="14"/>
        <v/>
      </c>
    </row>
    <row r="63" spans="1:43" ht="15.5" x14ac:dyDescent="0.35">
      <c r="E63" s="223"/>
      <c r="N63" s="40"/>
      <c r="O63" s="40"/>
      <c r="P63" s="40"/>
      <c r="Q63" s="39" t="str">
        <f t="shared" si="16"/>
        <v/>
      </c>
      <c r="R63" s="38" t="str">
        <f t="shared" si="17"/>
        <v/>
      </c>
      <c r="S63" s="38" t="str">
        <f t="shared" si="18"/>
        <v/>
      </c>
      <c r="T63" s="147">
        <v>259.72000000000003</v>
      </c>
      <c r="U63" s="147">
        <v>560.52</v>
      </c>
      <c r="V63" s="147">
        <v>611.41999999999996</v>
      </c>
      <c r="W63" s="38" t="str">
        <f t="shared" si="10"/>
        <v/>
      </c>
      <c r="X63" s="217" t="str">
        <f>IF(E63="","",IF(R63&gt;0,MIN(Att1SmallCarriers[[#This Row],[2023 Maximum Government Contribution
Self+1]],ROUND(R63*0.75,2)),"New Option"))</f>
        <v/>
      </c>
      <c r="Y63" s="217" t="str">
        <f>IF(E63="","",IF(S63&gt;0,MIN(Att1SmallCarriers[[#This Row],[2023 Maximum Government Contribution
Family]],ROUND(S63*0.75,2)),"New Option"))</f>
        <v/>
      </c>
      <c r="Z63" s="38" t="str">
        <f t="shared" si="19"/>
        <v/>
      </c>
      <c r="AA63" s="38" t="str">
        <f t="shared" si="20"/>
        <v/>
      </c>
      <c r="AB63" s="38" t="str">
        <f t="shared" si="21"/>
        <v/>
      </c>
      <c r="AC63" s="38" t="str">
        <f t="shared" si="22"/>
        <v/>
      </c>
      <c r="AD63" s="38" t="str">
        <f t="shared" si="23"/>
        <v/>
      </c>
      <c r="AE63" s="38" t="str">
        <f t="shared" si="24"/>
        <v/>
      </c>
      <c r="AF63" s="89">
        <f>ROUND(Att1SmallCarriers[[#This Row],[2023 Maximum Government Contribution
Self]]*(1+$B$14),2)</f>
        <v>259.72000000000003</v>
      </c>
      <c r="AG63" s="89">
        <f>ROUND(Att1SmallCarriers[[#This Row],[2023 Maximum Government Contribution
Self+1]]*(1+$B$14),2)</f>
        <v>560.52</v>
      </c>
      <c r="AH63" s="89">
        <f>ROUND(Att1SmallCarriers[[#This Row],[2023 Maximum Government Contribution
Family]]*(1+$B$14),2)</f>
        <v>611.41999999999996</v>
      </c>
      <c r="AI63" s="217" t="str">
        <f>IF(E63="","",MIN(Att1SmallCarriers[[#This Row],[ESTIMATED 2024 Maximum Government Contribution
Self]],ROUND(AC63*0.75,2)))</f>
        <v/>
      </c>
      <c r="AJ63" s="217" t="str">
        <f>IF(E63="","",MIN(Att1SmallCarriers[[#This Row],[ESTIMATED 2024 Maximum Government Contribution
Self+1]],ROUND(AD63*0.75,2)))</f>
        <v/>
      </c>
      <c r="AK63" s="217" t="str">
        <f>IF(E63="","",MIN(Att1SmallCarriers[[#This Row],[ESTIMATED 2024 Maximum Government Contribution
Family]],ROUND(AE63*0.75,2)))</f>
        <v/>
      </c>
      <c r="AL63" s="38" t="str">
        <f t="shared" si="25"/>
        <v/>
      </c>
      <c r="AM63" s="38" t="str">
        <f t="shared" si="26"/>
        <v/>
      </c>
      <c r="AN63" s="38" t="str">
        <f t="shared" si="27"/>
        <v/>
      </c>
      <c r="AO63" s="218" t="str">
        <f t="shared" si="12"/>
        <v/>
      </c>
      <c r="AP63" s="218" t="str">
        <f t="shared" si="13"/>
        <v/>
      </c>
      <c r="AQ63" s="218" t="str">
        <f t="shared" si="14"/>
        <v/>
      </c>
    </row>
    <row r="64" spans="1:43" ht="15.5" x14ac:dyDescent="0.35">
      <c r="E64" s="223"/>
      <c r="N64" s="40"/>
      <c r="O64" s="40"/>
      <c r="P64" s="40"/>
      <c r="Q64" s="39" t="str">
        <f t="shared" si="16"/>
        <v/>
      </c>
      <c r="R64" s="38" t="str">
        <f t="shared" si="17"/>
        <v/>
      </c>
      <c r="S64" s="38" t="str">
        <f t="shared" si="18"/>
        <v/>
      </c>
      <c r="T64" s="147">
        <v>259.72000000000003</v>
      </c>
      <c r="U64" s="147">
        <v>560.52</v>
      </c>
      <c r="V64" s="147">
        <v>611.41999999999996</v>
      </c>
      <c r="W64" s="38" t="str">
        <f t="shared" si="10"/>
        <v/>
      </c>
      <c r="X64" s="217" t="str">
        <f>IF(E64="","",IF(R64&gt;0,MIN(Att1SmallCarriers[[#This Row],[2023 Maximum Government Contribution
Self+1]],ROUND(R64*0.75,2)),"New Option"))</f>
        <v/>
      </c>
      <c r="Y64" s="217" t="str">
        <f>IF(E64="","",IF(S64&gt;0,MIN(Att1SmallCarriers[[#This Row],[2023 Maximum Government Contribution
Family]],ROUND(S64*0.75,2)),"New Option"))</f>
        <v/>
      </c>
      <c r="Z64" s="38" t="str">
        <f t="shared" si="19"/>
        <v/>
      </c>
      <c r="AA64" s="38" t="str">
        <f t="shared" si="20"/>
        <v/>
      </c>
      <c r="AB64" s="38" t="str">
        <f t="shared" si="21"/>
        <v/>
      </c>
      <c r="AC64" s="38" t="str">
        <f t="shared" si="22"/>
        <v/>
      </c>
      <c r="AD64" s="38" t="str">
        <f t="shared" si="23"/>
        <v/>
      </c>
      <c r="AE64" s="38" t="str">
        <f t="shared" si="24"/>
        <v/>
      </c>
      <c r="AF64" s="89">
        <f>ROUND(Att1SmallCarriers[[#This Row],[2023 Maximum Government Contribution
Self]]*(1+$B$14),2)</f>
        <v>259.72000000000003</v>
      </c>
      <c r="AG64" s="89">
        <f>ROUND(Att1SmallCarriers[[#This Row],[2023 Maximum Government Contribution
Self+1]]*(1+$B$14),2)</f>
        <v>560.52</v>
      </c>
      <c r="AH64" s="89">
        <f>ROUND(Att1SmallCarriers[[#This Row],[2023 Maximum Government Contribution
Family]]*(1+$B$14),2)</f>
        <v>611.41999999999996</v>
      </c>
      <c r="AI64" s="217" t="str">
        <f>IF(E64="","",MIN(Att1SmallCarriers[[#This Row],[ESTIMATED 2024 Maximum Government Contribution
Self]],ROUND(AC64*0.75,2)))</f>
        <v/>
      </c>
      <c r="AJ64" s="217" t="str">
        <f>IF(E64="","",MIN(Att1SmallCarriers[[#This Row],[ESTIMATED 2024 Maximum Government Contribution
Self+1]],ROUND(AD64*0.75,2)))</f>
        <v/>
      </c>
      <c r="AK64" s="217" t="str">
        <f>IF(E64="","",MIN(Att1SmallCarriers[[#This Row],[ESTIMATED 2024 Maximum Government Contribution
Family]],ROUND(AE64*0.75,2)))</f>
        <v/>
      </c>
      <c r="AL64" s="38" t="str">
        <f t="shared" si="25"/>
        <v/>
      </c>
      <c r="AM64" s="38" t="str">
        <f t="shared" si="26"/>
        <v/>
      </c>
      <c r="AN64" s="38" t="str">
        <f t="shared" si="27"/>
        <v/>
      </c>
      <c r="AO64" s="218" t="str">
        <f t="shared" si="12"/>
        <v/>
      </c>
      <c r="AP64" s="218" t="str">
        <f t="shared" si="13"/>
        <v/>
      </c>
      <c r="AQ64" s="218" t="str">
        <f t="shared" si="14"/>
        <v/>
      </c>
    </row>
    <row r="65" spans="5:43" ht="15.5" x14ac:dyDescent="0.35">
      <c r="E65" s="223"/>
      <c r="N65" s="40"/>
      <c r="O65" s="40"/>
      <c r="P65" s="40"/>
      <c r="Q65" s="39" t="str">
        <f t="shared" si="16"/>
        <v/>
      </c>
      <c r="R65" s="38" t="str">
        <f t="shared" si="17"/>
        <v/>
      </c>
      <c r="S65" s="38" t="str">
        <f t="shared" si="18"/>
        <v/>
      </c>
      <c r="T65" s="147">
        <v>259.72000000000003</v>
      </c>
      <c r="U65" s="147">
        <v>560.52</v>
      </c>
      <c r="V65" s="147">
        <v>611.41999999999996</v>
      </c>
      <c r="W65" s="38" t="str">
        <f t="shared" si="10"/>
        <v/>
      </c>
      <c r="X65" s="217" t="str">
        <f>IF(E65="","",IF(R65&gt;0,MIN(Att1SmallCarriers[[#This Row],[2023 Maximum Government Contribution
Self+1]],ROUND(R65*0.75,2)),"New Option"))</f>
        <v/>
      </c>
      <c r="Y65" s="217" t="str">
        <f>IF(E65="","",IF(S65&gt;0,MIN(Att1SmallCarriers[[#This Row],[2023 Maximum Government Contribution
Family]],ROUND(S65*0.75,2)),"New Option"))</f>
        <v/>
      </c>
      <c r="Z65" s="38" t="str">
        <f t="shared" si="19"/>
        <v/>
      </c>
      <c r="AA65" s="38" t="str">
        <f t="shared" si="20"/>
        <v/>
      </c>
      <c r="AB65" s="38" t="str">
        <f t="shared" si="21"/>
        <v/>
      </c>
      <c r="AC65" s="38" t="str">
        <f t="shared" si="22"/>
        <v/>
      </c>
      <c r="AD65" s="38" t="str">
        <f t="shared" si="23"/>
        <v/>
      </c>
      <c r="AE65" s="38" t="str">
        <f t="shared" si="24"/>
        <v/>
      </c>
      <c r="AF65" s="89">
        <f>ROUND(Att1SmallCarriers[[#This Row],[2023 Maximum Government Contribution
Self]]*(1+$B$14),2)</f>
        <v>259.72000000000003</v>
      </c>
      <c r="AG65" s="89">
        <f>ROUND(Att1SmallCarriers[[#This Row],[2023 Maximum Government Contribution
Self+1]]*(1+$B$14),2)</f>
        <v>560.52</v>
      </c>
      <c r="AH65" s="89">
        <f>ROUND(Att1SmallCarriers[[#This Row],[2023 Maximum Government Contribution
Family]]*(1+$B$14),2)</f>
        <v>611.41999999999996</v>
      </c>
      <c r="AI65" s="217" t="str">
        <f>IF(E65="","",MIN(Att1SmallCarriers[[#This Row],[ESTIMATED 2024 Maximum Government Contribution
Self]],ROUND(AC65*0.75,2)))</f>
        <v/>
      </c>
      <c r="AJ65" s="217" t="str">
        <f>IF(E65="","",MIN(Att1SmallCarriers[[#This Row],[ESTIMATED 2024 Maximum Government Contribution
Self+1]],ROUND(AD65*0.75,2)))</f>
        <v/>
      </c>
      <c r="AK65" s="217" t="str">
        <f>IF(E65="","",MIN(Att1SmallCarriers[[#This Row],[ESTIMATED 2024 Maximum Government Contribution
Family]],ROUND(AE65*0.75,2)))</f>
        <v/>
      </c>
      <c r="AL65" s="38" t="str">
        <f t="shared" si="25"/>
        <v/>
      </c>
      <c r="AM65" s="38" t="str">
        <f t="shared" si="26"/>
        <v/>
      </c>
      <c r="AN65" s="38" t="str">
        <f t="shared" si="27"/>
        <v/>
      </c>
      <c r="AO65" s="218" t="str">
        <f t="shared" si="12"/>
        <v/>
      </c>
      <c r="AP65" s="218" t="str">
        <f t="shared" si="13"/>
        <v/>
      </c>
      <c r="AQ65" s="218" t="str">
        <f t="shared" si="14"/>
        <v/>
      </c>
    </row>
    <row r="66" spans="5:43" ht="15.5" x14ac:dyDescent="0.35">
      <c r="E66" s="223"/>
      <c r="N66" s="40"/>
      <c r="O66" s="40"/>
      <c r="P66" s="40"/>
      <c r="Q66" s="39" t="str">
        <f t="shared" si="16"/>
        <v/>
      </c>
      <c r="R66" s="38" t="str">
        <f t="shared" si="17"/>
        <v/>
      </c>
      <c r="S66" s="38" t="str">
        <f t="shared" si="18"/>
        <v/>
      </c>
      <c r="T66" s="147">
        <v>259.72000000000003</v>
      </c>
      <c r="U66" s="147">
        <v>560.52</v>
      </c>
      <c r="V66" s="147">
        <v>611.41999999999996</v>
      </c>
      <c r="W66" s="38" t="str">
        <f t="shared" si="10"/>
        <v/>
      </c>
      <c r="X66" s="217" t="str">
        <f>IF(E66="","",IF(R66&gt;0,MIN(Att1SmallCarriers[[#This Row],[2023 Maximum Government Contribution
Self+1]],ROUND(R66*0.75,2)),"New Option"))</f>
        <v/>
      </c>
      <c r="Y66" s="217" t="str">
        <f>IF(E66="","",IF(S66&gt;0,MIN(Att1SmallCarriers[[#This Row],[2023 Maximum Government Contribution
Family]],ROUND(S66*0.75,2)),"New Option"))</f>
        <v/>
      </c>
      <c r="Z66" s="38" t="str">
        <f t="shared" si="19"/>
        <v/>
      </c>
      <c r="AA66" s="38" t="str">
        <f t="shared" si="20"/>
        <v/>
      </c>
      <c r="AB66" s="38" t="str">
        <f t="shared" si="21"/>
        <v/>
      </c>
      <c r="AC66" s="38" t="str">
        <f t="shared" si="22"/>
        <v/>
      </c>
      <c r="AD66" s="38" t="str">
        <f t="shared" si="23"/>
        <v/>
      </c>
      <c r="AE66" s="38" t="str">
        <f t="shared" si="24"/>
        <v/>
      </c>
      <c r="AF66" s="89">
        <f>ROUND(Att1SmallCarriers[[#This Row],[2023 Maximum Government Contribution
Self]]*(1+$B$14),2)</f>
        <v>259.72000000000003</v>
      </c>
      <c r="AG66" s="89">
        <f>ROUND(Att1SmallCarriers[[#This Row],[2023 Maximum Government Contribution
Self+1]]*(1+$B$14),2)</f>
        <v>560.52</v>
      </c>
      <c r="AH66" s="89">
        <f>ROUND(Att1SmallCarriers[[#This Row],[2023 Maximum Government Contribution
Family]]*(1+$B$14),2)</f>
        <v>611.41999999999996</v>
      </c>
      <c r="AI66" s="217" t="str">
        <f>IF(E66="","",MIN(Att1SmallCarriers[[#This Row],[ESTIMATED 2024 Maximum Government Contribution
Self]],ROUND(AC66*0.75,2)))</f>
        <v/>
      </c>
      <c r="AJ66" s="217" t="str">
        <f>IF(E66="","",MIN(Att1SmallCarriers[[#This Row],[ESTIMATED 2024 Maximum Government Contribution
Self+1]],ROUND(AD66*0.75,2)))</f>
        <v/>
      </c>
      <c r="AK66" s="217" t="str">
        <f>IF(E66="","",MIN(Att1SmallCarriers[[#This Row],[ESTIMATED 2024 Maximum Government Contribution
Family]],ROUND(AE66*0.75,2)))</f>
        <v/>
      </c>
      <c r="AL66" s="38" t="str">
        <f t="shared" si="25"/>
        <v/>
      </c>
      <c r="AM66" s="38" t="str">
        <f t="shared" si="26"/>
        <v/>
      </c>
      <c r="AN66" s="38" t="str">
        <f t="shared" si="27"/>
        <v/>
      </c>
      <c r="AO66" s="218" t="str">
        <f t="shared" si="12"/>
        <v/>
      </c>
      <c r="AP66" s="218" t="str">
        <f t="shared" si="13"/>
        <v/>
      </c>
      <c r="AQ66" s="218" t="str">
        <f t="shared" si="14"/>
        <v/>
      </c>
    </row>
    <row r="67" spans="5:43" ht="15.5" x14ac:dyDescent="0.35">
      <c r="E67" s="223"/>
      <c r="N67" s="40"/>
      <c r="O67" s="40"/>
      <c r="P67" s="40"/>
      <c r="Q67" s="39" t="str">
        <f t="shared" si="16"/>
        <v/>
      </c>
      <c r="R67" s="38" t="str">
        <f t="shared" si="17"/>
        <v/>
      </c>
      <c r="S67" s="38" t="str">
        <f t="shared" si="18"/>
        <v/>
      </c>
      <c r="T67" s="147">
        <v>259.72000000000003</v>
      </c>
      <c r="U67" s="147">
        <v>560.52</v>
      </c>
      <c r="V67" s="147">
        <v>611.41999999999996</v>
      </c>
      <c r="W67" s="38" t="str">
        <f t="shared" si="10"/>
        <v/>
      </c>
      <c r="X67" s="217" t="str">
        <f>IF(E67="","",IF(R67&gt;0,MIN(Att1SmallCarriers[[#This Row],[2023 Maximum Government Contribution
Self+1]],ROUND(R67*0.75,2)),"New Option"))</f>
        <v/>
      </c>
      <c r="Y67" s="217" t="str">
        <f>IF(E67="","",IF(S67&gt;0,MIN(Att1SmallCarriers[[#This Row],[2023 Maximum Government Contribution
Family]],ROUND(S67*0.75,2)),"New Option"))</f>
        <v/>
      </c>
      <c r="Z67" s="38" t="str">
        <f t="shared" si="19"/>
        <v/>
      </c>
      <c r="AA67" s="38" t="str">
        <f t="shared" si="20"/>
        <v/>
      </c>
      <c r="AB67" s="38" t="str">
        <f t="shared" si="21"/>
        <v/>
      </c>
      <c r="AC67" s="38" t="str">
        <f t="shared" si="22"/>
        <v/>
      </c>
      <c r="AD67" s="38" t="str">
        <f t="shared" si="23"/>
        <v/>
      </c>
      <c r="AE67" s="38" t="str">
        <f t="shared" si="24"/>
        <v/>
      </c>
      <c r="AF67" s="89">
        <f>ROUND(Att1SmallCarriers[[#This Row],[2023 Maximum Government Contribution
Self]]*(1+$B$14),2)</f>
        <v>259.72000000000003</v>
      </c>
      <c r="AG67" s="89">
        <f>ROUND(Att1SmallCarriers[[#This Row],[2023 Maximum Government Contribution
Self+1]]*(1+$B$14),2)</f>
        <v>560.52</v>
      </c>
      <c r="AH67" s="89">
        <f>ROUND(Att1SmallCarriers[[#This Row],[2023 Maximum Government Contribution
Family]]*(1+$B$14),2)</f>
        <v>611.41999999999996</v>
      </c>
      <c r="AI67" s="217" t="str">
        <f>IF(E67="","",MIN(Att1SmallCarriers[[#This Row],[ESTIMATED 2024 Maximum Government Contribution
Self]],ROUND(AC67*0.75,2)))</f>
        <v/>
      </c>
      <c r="AJ67" s="217" t="str">
        <f>IF(E67="","",MIN(Att1SmallCarriers[[#This Row],[ESTIMATED 2024 Maximum Government Contribution
Self+1]],ROUND(AD67*0.75,2)))</f>
        <v/>
      </c>
      <c r="AK67" s="217" t="str">
        <f>IF(E67="","",MIN(Att1SmallCarriers[[#This Row],[ESTIMATED 2024 Maximum Government Contribution
Family]],ROUND(AE67*0.75,2)))</f>
        <v/>
      </c>
      <c r="AL67" s="38" t="str">
        <f t="shared" si="25"/>
        <v/>
      </c>
      <c r="AM67" s="38" t="str">
        <f t="shared" si="26"/>
        <v/>
      </c>
      <c r="AN67" s="38" t="str">
        <f t="shared" si="27"/>
        <v/>
      </c>
      <c r="AO67" s="218" t="str">
        <f t="shared" si="12"/>
        <v/>
      </c>
      <c r="AP67" s="218" t="str">
        <f t="shared" si="13"/>
        <v/>
      </c>
      <c r="AQ67" s="218" t="str">
        <f t="shared" si="14"/>
        <v/>
      </c>
    </row>
    <row r="68" spans="5:43" ht="15.5" x14ac:dyDescent="0.35">
      <c r="E68" s="223"/>
      <c r="N68" s="40"/>
      <c r="O68" s="40"/>
      <c r="P68" s="40"/>
      <c r="Q68" s="39" t="str">
        <f t="shared" si="16"/>
        <v/>
      </c>
      <c r="R68" s="38" t="str">
        <f t="shared" si="17"/>
        <v/>
      </c>
      <c r="S68" s="38" t="str">
        <f t="shared" si="18"/>
        <v/>
      </c>
      <c r="T68" s="147">
        <v>259.72000000000003</v>
      </c>
      <c r="U68" s="147">
        <v>560.52</v>
      </c>
      <c r="V68" s="147">
        <v>611.41999999999996</v>
      </c>
      <c r="W68" s="38" t="str">
        <f t="shared" si="10"/>
        <v/>
      </c>
      <c r="X68" s="217" t="str">
        <f>IF(E68="","",IF(R68&gt;0,MIN(Att1SmallCarriers[[#This Row],[2023 Maximum Government Contribution
Self+1]],ROUND(R68*0.75,2)),"New Option"))</f>
        <v/>
      </c>
      <c r="Y68" s="217" t="str">
        <f>IF(E68="","",IF(S68&gt;0,MIN(Att1SmallCarriers[[#This Row],[2023 Maximum Government Contribution
Family]],ROUND(S68*0.75,2)),"New Option"))</f>
        <v/>
      </c>
      <c r="Z68" s="38" t="str">
        <f t="shared" si="19"/>
        <v/>
      </c>
      <c r="AA68" s="38" t="str">
        <f t="shared" si="20"/>
        <v/>
      </c>
      <c r="AB68" s="38" t="str">
        <f t="shared" si="21"/>
        <v/>
      </c>
      <c r="AC68" s="38" t="str">
        <f t="shared" si="22"/>
        <v/>
      </c>
      <c r="AD68" s="38" t="str">
        <f t="shared" si="23"/>
        <v/>
      </c>
      <c r="AE68" s="38" t="str">
        <f t="shared" si="24"/>
        <v/>
      </c>
      <c r="AF68" s="89">
        <f>ROUND(Att1SmallCarriers[[#This Row],[2023 Maximum Government Contribution
Self]]*(1+$B$14),2)</f>
        <v>259.72000000000003</v>
      </c>
      <c r="AG68" s="89">
        <f>ROUND(Att1SmallCarriers[[#This Row],[2023 Maximum Government Contribution
Self+1]]*(1+$B$14),2)</f>
        <v>560.52</v>
      </c>
      <c r="AH68" s="89">
        <f>ROUND(Att1SmallCarriers[[#This Row],[2023 Maximum Government Contribution
Family]]*(1+$B$14),2)</f>
        <v>611.41999999999996</v>
      </c>
      <c r="AI68" s="217" t="str">
        <f>IF(E68="","",MIN(Att1SmallCarriers[[#This Row],[ESTIMATED 2024 Maximum Government Contribution
Self]],ROUND(AC68*0.75,2)))</f>
        <v/>
      </c>
      <c r="AJ68" s="217" t="str">
        <f>IF(E68="","",MIN(Att1SmallCarriers[[#This Row],[ESTIMATED 2024 Maximum Government Contribution
Self+1]],ROUND(AD68*0.75,2)))</f>
        <v/>
      </c>
      <c r="AK68" s="217" t="str">
        <f>IF(E68="","",MIN(Att1SmallCarriers[[#This Row],[ESTIMATED 2024 Maximum Government Contribution
Family]],ROUND(AE68*0.75,2)))</f>
        <v/>
      </c>
      <c r="AL68" s="38" t="str">
        <f t="shared" si="25"/>
        <v/>
      </c>
      <c r="AM68" s="38" t="str">
        <f t="shared" si="26"/>
        <v/>
      </c>
      <c r="AN68" s="38" t="str">
        <f t="shared" si="27"/>
        <v/>
      </c>
      <c r="AO68" s="218" t="str">
        <f t="shared" si="12"/>
        <v/>
      </c>
      <c r="AP68" s="218" t="str">
        <f t="shared" si="13"/>
        <v/>
      </c>
      <c r="AQ68" s="218" t="str">
        <f t="shared" si="14"/>
        <v/>
      </c>
    </row>
    <row r="69" spans="5:43" ht="15.5" x14ac:dyDescent="0.35">
      <c r="E69" s="223"/>
      <c r="N69" s="40"/>
      <c r="O69" s="40"/>
      <c r="P69" s="40"/>
      <c r="Q69" s="39" t="str">
        <f t="shared" si="16"/>
        <v/>
      </c>
      <c r="R69" s="38" t="str">
        <f t="shared" si="17"/>
        <v/>
      </c>
      <c r="S69" s="38" t="str">
        <f t="shared" si="18"/>
        <v/>
      </c>
      <c r="T69" s="147">
        <v>259.72000000000003</v>
      </c>
      <c r="U69" s="147">
        <v>560.52</v>
      </c>
      <c r="V69" s="147">
        <v>611.41999999999996</v>
      </c>
      <c r="W69" s="38" t="str">
        <f t="shared" si="10"/>
        <v/>
      </c>
      <c r="X69" s="217" t="str">
        <f>IF(E69="","",IF(R69&gt;0,MIN(Att1SmallCarriers[[#This Row],[2023 Maximum Government Contribution
Self+1]],ROUND(R69*0.75,2)),"New Option"))</f>
        <v/>
      </c>
      <c r="Y69" s="217" t="str">
        <f>IF(E69="","",IF(S69&gt;0,MIN(Att1SmallCarriers[[#This Row],[2023 Maximum Government Contribution
Family]],ROUND(S69*0.75,2)),"New Option"))</f>
        <v/>
      </c>
      <c r="Z69" s="38" t="str">
        <f t="shared" si="19"/>
        <v/>
      </c>
      <c r="AA69" s="38" t="str">
        <f t="shared" si="20"/>
        <v/>
      </c>
      <c r="AB69" s="38" t="str">
        <f t="shared" si="21"/>
        <v/>
      </c>
      <c r="AC69" s="38" t="str">
        <f t="shared" si="22"/>
        <v/>
      </c>
      <c r="AD69" s="38" t="str">
        <f t="shared" si="23"/>
        <v/>
      </c>
      <c r="AE69" s="38" t="str">
        <f t="shared" si="24"/>
        <v/>
      </c>
      <c r="AF69" s="89">
        <f>ROUND(Att1SmallCarriers[[#This Row],[2023 Maximum Government Contribution
Self]]*(1+$B$14),2)</f>
        <v>259.72000000000003</v>
      </c>
      <c r="AG69" s="89">
        <f>ROUND(Att1SmallCarriers[[#This Row],[2023 Maximum Government Contribution
Self+1]]*(1+$B$14),2)</f>
        <v>560.52</v>
      </c>
      <c r="AH69" s="89">
        <f>ROUND(Att1SmallCarriers[[#This Row],[2023 Maximum Government Contribution
Family]]*(1+$B$14),2)</f>
        <v>611.41999999999996</v>
      </c>
      <c r="AI69" s="217" t="str">
        <f>IF(E69="","",MIN(Att1SmallCarriers[[#This Row],[ESTIMATED 2024 Maximum Government Contribution
Self]],ROUND(AC69*0.75,2)))</f>
        <v/>
      </c>
      <c r="AJ69" s="217" t="str">
        <f>IF(E69="","",MIN(Att1SmallCarriers[[#This Row],[ESTIMATED 2024 Maximum Government Contribution
Self+1]],ROUND(AD69*0.75,2)))</f>
        <v/>
      </c>
      <c r="AK69" s="217" t="str">
        <f>IF(E69="","",MIN(Att1SmallCarriers[[#This Row],[ESTIMATED 2024 Maximum Government Contribution
Family]],ROUND(AE69*0.75,2)))</f>
        <v/>
      </c>
      <c r="AL69" s="38" t="str">
        <f t="shared" si="25"/>
        <v/>
      </c>
      <c r="AM69" s="38" t="str">
        <f t="shared" si="26"/>
        <v/>
      </c>
      <c r="AN69" s="38" t="str">
        <f t="shared" si="27"/>
        <v/>
      </c>
      <c r="AO69" s="218" t="str">
        <f t="shared" si="12"/>
        <v/>
      </c>
      <c r="AP69" s="218" t="str">
        <f t="shared" si="13"/>
        <v/>
      </c>
      <c r="AQ69" s="218" t="str">
        <f t="shared" si="14"/>
        <v/>
      </c>
    </row>
    <row r="70" spans="5:43" ht="15.5" x14ac:dyDescent="0.35">
      <c r="E70" s="223"/>
      <c r="N70" s="40"/>
      <c r="O70" s="40"/>
      <c r="P70" s="40"/>
      <c r="Q70" s="39" t="str">
        <f t="shared" si="16"/>
        <v/>
      </c>
      <c r="R70" s="38" t="str">
        <f t="shared" si="17"/>
        <v/>
      </c>
      <c r="S70" s="38" t="str">
        <f t="shared" si="18"/>
        <v/>
      </c>
      <c r="T70" s="147">
        <v>259.72000000000003</v>
      </c>
      <c r="U70" s="147">
        <v>560.52</v>
      </c>
      <c r="V70" s="147">
        <v>611.41999999999996</v>
      </c>
      <c r="W70" s="38" t="str">
        <f t="shared" si="10"/>
        <v/>
      </c>
      <c r="X70" s="217" t="str">
        <f>IF(E70="","",IF(R70&gt;0,MIN(Att1SmallCarriers[[#This Row],[2023 Maximum Government Contribution
Self+1]],ROUND(R70*0.75,2)),"New Option"))</f>
        <v/>
      </c>
      <c r="Y70" s="217" t="str">
        <f>IF(E70="","",IF(S70&gt;0,MIN(Att1SmallCarriers[[#This Row],[2023 Maximum Government Contribution
Family]],ROUND(S70*0.75,2)),"New Option"))</f>
        <v/>
      </c>
      <c r="Z70" s="38" t="str">
        <f t="shared" si="19"/>
        <v/>
      </c>
      <c r="AA70" s="38" t="str">
        <f t="shared" si="20"/>
        <v/>
      </c>
      <c r="AB70" s="38" t="str">
        <f t="shared" si="21"/>
        <v/>
      </c>
      <c r="AC70" s="38" t="str">
        <f t="shared" si="22"/>
        <v/>
      </c>
      <c r="AD70" s="38" t="str">
        <f t="shared" si="23"/>
        <v/>
      </c>
      <c r="AE70" s="38" t="str">
        <f t="shared" si="24"/>
        <v/>
      </c>
      <c r="AF70" s="89">
        <f>ROUND(Att1SmallCarriers[[#This Row],[2023 Maximum Government Contribution
Self]]*(1+$B$14),2)</f>
        <v>259.72000000000003</v>
      </c>
      <c r="AG70" s="89">
        <f>ROUND(Att1SmallCarriers[[#This Row],[2023 Maximum Government Contribution
Self+1]]*(1+$B$14),2)</f>
        <v>560.52</v>
      </c>
      <c r="AH70" s="89">
        <f>ROUND(Att1SmallCarriers[[#This Row],[2023 Maximum Government Contribution
Family]]*(1+$B$14),2)</f>
        <v>611.41999999999996</v>
      </c>
      <c r="AI70" s="217" t="str">
        <f>IF(E70="","",MIN(Att1SmallCarriers[[#This Row],[ESTIMATED 2024 Maximum Government Contribution
Self]],ROUND(AC70*0.75,2)))</f>
        <v/>
      </c>
      <c r="AJ70" s="217" t="str">
        <f>IF(E70="","",MIN(Att1SmallCarriers[[#This Row],[ESTIMATED 2024 Maximum Government Contribution
Self+1]],ROUND(AD70*0.75,2)))</f>
        <v/>
      </c>
      <c r="AK70" s="217" t="str">
        <f>IF(E70="","",MIN(Att1SmallCarriers[[#This Row],[ESTIMATED 2024 Maximum Government Contribution
Family]],ROUND(AE70*0.75,2)))</f>
        <v/>
      </c>
      <c r="AL70" s="38" t="str">
        <f t="shared" si="25"/>
        <v/>
      </c>
      <c r="AM70" s="38" t="str">
        <f t="shared" si="26"/>
        <v/>
      </c>
      <c r="AN70" s="38" t="str">
        <f t="shared" si="27"/>
        <v/>
      </c>
      <c r="AO70" s="218" t="str">
        <f t="shared" si="12"/>
        <v/>
      </c>
      <c r="AP70" s="218" t="str">
        <f t="shared" si="13"/>
        <v/>
      </c>
      <c r="AQ70" s="218" t="str">
        <f t="shared" si="14"/>
        <v/>
      </c>
    </row>
    <row r="71" spans="5:43" ht="15.5" x14ac:dyDescent="0.35">
      <c r="E71" s="223"/>
      <c r="N71" s="40"/>
      <c r="O71" s="40"/>
      <c r="P71" s="40"/>
      <c r="Q71" s="39" t="str">
        <f t="shared" si="16"/>
        <v/>
      </c>
      <c r="R71" s="38" t="str">
        <f t="shared" si="17"/>
        <v/>
      </c>
      <c r="S71" s="38" t="str">
        <f t="shared" si="18"/>
        <v/>
      </c>
      <c r="T71" s="147">
        <v>259.72000000000003</v>
      </c>
      <c r="U71" s="147">
        <v>560.52</v>
      </c>
      <c r="V71" s="147">
        <v>611.41999999999996</v>
      </c>
      <c r="W71" s="38" t="str">
        <f t="shared" si="10"/>
        <v/>
      </c>
      <c r="X71" s="217" t="str">
        <f>IF(E71="","",IF(R71&gt;0,MIN(Att1SmallCarriers[[#This Row],[2023 Maximum Government Contribution
Self+1]],ROUND(R71*0.75,2)),"New Option"))</f>
        <v/>
      </c>
      <c r="Y71" s="217" t="str">
        <f>IF(E71="","",IF(S71&gt;0,MIN(Att1SmallCarriers[[#This Row],[2023 Maximum Government Contribution
Family]],ROUND(S71*0.75,2)),"New Option"))</f>
        <v/>
      </c>
      <c r="Z71" s="38" t="str">
        <f t="shared" si="19"/>
        <v/>
      </c>
      <c r="AA71" s="38" t="str">
        <f t="shared" si="20"/>
        <v/>
      </c>
      <c r="AB71" s="38" t="str">
        <f t="shared" si="21"/>
        <v/>
      </c>
      <c r="AC71" s="38" t="str">
        <f t="shared" si="22"/>
        <v/>
      </c>
      <c r="AD71" s="38" t="str">
        <f t="shared" si="23"/>
        <v/>
      </c>
      <c r="AE71" s="38" t="str">
        <f t="shared" si="24"/>
        <v/>
      </c>
      <c r="AF71" s="89">
        <f>ROUND(Att1SmallCarriers[[#This Row],[2023 Maximum Government Contribution
Self]]*(1+$B$14),2)</f>
        <v>259.72000000000003</v>
      </c>
      <c r="AG71" s="89">
        <f>ROUND(Att1SmallCarriers[[#This Row],[2023 Maximum Government Contribution
Self+1]]*(1+$B$14),2)</f>
        <v>560.52</v>
      </c>
      <c r="AH71" s="89">
        <f>ROUND(Att1SmallCarriers[[#This Row],[2023 Maximum Government Contribution
Family]]*(1+$B$14),2)</f>
        <v>611.41999999999996</v>
      </c>
      <c r="AI71" s="217" t="str">
        <f>IF(E71="","",MIN(Att1SmallCarriers[[#This Row],[ESTIMATED 2024 Maximum Government Contribution
Self]],ROUND(AC71*0.75,2)))</f>
        <v/>
      </c>
      <c r="AJ71" s="217" t="str">
        <f>IF(E71="","",MIN(Att1SmallCarriers[[#This Row],[ESTIMATED 2024 Maximum Government Contribution
Self+1]],ROUND(AD71*0.75,2)))</f>
        <v/>
      </c>
      <c r="AK71" s="217" t="str">
        <f>IF(E71="","",MIN(Att1SmallCarriers[[#This Row],[ESTIMATED 2024 Maximum Government Contribution
Family]],ROUND(AE71*0.75,2)))</f>
        <v/>
      </c>
      <c r="AL71" s="38" t="str">
        <f t="shared" si="25"/>
        <v/>
      </c>
      <c r="AM71" s="38" t="str">
        <f t="shared" si="26"/>
        <v/>
      </c>
      <c r="AN71" s="38" t="str">
        <f t="shared" si="27"/>
        <v/>
      </c>
      <c r="AO71" s="218" t="str">
        <f t="shared" si="12"/>
        <v/>
      </c>
      <c r="AP71" s="218" t="str">
        <f t="shared" si="13"/>
        <v/>
      </c>
      <c r="AQ71" s="218" t="str">
        <f t="shared" si="14"/>
        <v/>
      </c>
    </row>
    <row r="72" spans="5:43" ht="15.5" x14ac:dyDescent="0.35">
      <c r="E72" s="223"/>
      <c r="N72" s="40"/>
      <c r="O72" s="40"/>
      <c r="P72" s="40"/>
      <c r="Q72" s="39" t="str">
        <f t="shared" si="16"/>
        <v/>
      </c>
      <c r="R72" s="38" t="str">
        <f t="shared" si="17"/>
        <v/>
      </c>
      <c r="S72" s="38" t="str">
        <f t="shared" si="18"/>
        <v/>
      </c>
      <c r="T72" s="147">
        <v>259.72000000000003</v>
      </c>
      <c r="U72" s="147">
        <v>560.52</v>
      </c>
      <c r="V72" s="147">
        <v>611.41999999999996</v>
      </c>
      <c r="W72" s="38" t="str">
        <f t="shared" si="10"/>
        <v/>
      </c>
      <c r="X72" s="217" t="str">
        <f>IF(E72="","",IF(R72&gt;0,MIN(Att1SmallCarriers[[#This Row],[2023 Maximum Government Contribution
Self+1]],ROUND(R72*0.75,2)),"New Option"))</f>
        <v/>
      </c>
      <c r="Y72" s="217" t="str">
        <f>IF(E72="","",IF(S72&gt;0,MIN(Att1SmallCarriers[[#This Row],[2023 Maximum Government Contribution
Family]],ROUND(S72*0.75,2)),"New Option"))</f>
        <v/>
      </c>
      <c r="Z72" s="38" t="str">
        <f t="shared" si="19"/>
        <v/>
      </c>
      <c r="AA72" s="38" t="str">
        <f t="shared" si="20"/>
        <v/>
      </c>
      <c r="AB72" s="38" t="str">
        <f t="shared" si="21"/>
        <v/>
      </c>
      <c r="AC72" s="38" t="str">
        <f t="shared" si="22"/>
        <v/>
      </c>
      <c r="AD72" s="38" t="str">
        <f t="shared" si="23"/>
        <v/>
      </c>
      <c r="AE72" s="38" t="str">
        <f t="shared" si="24"/>
        <v/>
      </c>
      <c r="AF72" s="89">
        <f>ROUND(Att1SmallCarriers[[#This Row],[2023 Maximum Government Contribution
Self]]*(1+$B$14),2)</f>
        <v>259.72000000000003</v>
      </c>
      <c r="AG72" s="89">
        <f>ROUND(Att1SmallCarriers[[#This Row],[2023 Maximum Government Contribution
Self+1]]*(1+$B$14),2)</f>
        <v>560.52</v>
      </c>
      <c r="AH72" s="89">
        <f>ROUND(Att1SmallCarriers[[#This Row],[2023 Maximum Government Contribution
Family]]*(1+$B$14),2)</f>
        <v>611.41999999999996</v>
      </c>
      <c r="AI72" s="217" t="str">
        <f>IF(E72="","",MIN(Att1SmallCarriers[[#This Row],[ESTIMATED 2024 Maximum Government Contribution
Self]],ROUND(AC72*0.75,2)))</f>
        <v/>
      </c>
      <c r="AJ72" s="217" t="str">
        <f>IF(E72="","",MIN(Att1SmallCarriers[[#This Row],[ESTIMATED 2024 Maximum Government Contribution
Self+1]],ROUND(AD72*0.75,2)))</f>
        <v/>
      </c>
      <c r="AK72" s="217" t="str">
        <f>IF(E72="","",MIN(Att1SmallCarriers[[#This Row],[ESTIMATED 2024 Maximum Government Contribution
Family]],ROUND(AE72*0.75,2)))</f>
        <v/>
      </c>
      <c r="AL72" s="38" t="str">
        <f t="shared" si="25"/>
        <v/>
      </c>
      <c r="AM72" s="38" t="str">
        <f t="shared" si="26"/>
        <v/>
      </c>
      <c r="AN72" s="38" t="str">
        <f t="shared" si="27"/>
        <v/>
      </c>
      <c r="AO72" s="218" t="str">
        <f t="shared" si="12"/>
        <v/>
      </c>
      <c r="AP72" s="218" t="str">
        <f t="shared" si="13"/>
        <v/>
      </c>
      <c r="AQ72" s="218" t="str">
        <f t="shared" si="14"/>
        <v/>
      </c>
    </row>
    <row r="73" spans="5:43" ht="15.5" x14ac:dyDescent="0.35">
      <c r="E73" s="223"/>
      <c r="N73" s="40"/>
      <c r="O73" s="40"/>
      <c r="P73" s="40"/>
      <c r="Q73" s="39" t="str">
        <f t="shared" si="16"/>
        <v/>
      </c>
      <c r="R73" s="38" t="str">
        <f t="shared" si="17"/>
        <v/>
      </c>
      <c r="S73" s="38" t="str">
        <f t="shared" si="18"/>
        <v/>
      </c>
      <c r="T73" s="147">
        <v>259.72000000000003</v>
      </c>
      <c r="U73" s="147">
        <v>560.52</v>
      </c>
      <c r="V73" s="147">
        <v>611.41999999999996</v>
      </c>
      <c r="W73" s="38" t="str">
        <f t="shared" si="10"/>
        <v/>
      </c>
      <c r="X73" s="217" t="str">
        <f>IF(E73="","",IF(R73&gt;0,MIN(Att1SmallCarriers[[#This Row],[2023 Maximum Government Contribution
Self+1]],ROUND(R73*0.75,2)),"New Option"))</f>
        <v/>
      </c>
      <c r="Y73" s="217" t="str">
        <f>IF(E73="","",IF(S73&gt;0,MIN(Att1SmallCarriers[[#This Row],[2023 Maximum Government Contribution
Family]],ROUND(S73*0.75,2)),"New Option"))</f>
        <v/>
      </c>
      <c r="Z73" s="38" t="str">
        <f t="shared" si="19"/>
        <v/>
      </c>
      <c r="AA73" s="38" t="str">
        <f t="shared" si="20"/>
        <v/>
      </c>
      <c r="AB73" s="38" t="str">
        <f t="shared" si="21"/>
        <v/>
      </c>
      <c r="AC73" s="38" t="str">
        <f t="shared" si="22"/>
        <v/>
      </c>
      <c r="AD73" s="38" t="str">
        <f t="shared" si="23"/>
        <v/>
      </c>
      <c r="AE73" s="38" t="str">
        <f t="shared" si="24"/>
        <v/>
      </c>
      <c r="AF73" s="89">
        <f>ROUND(Att1SmallCarriers[[#This Row],[2023 Maximum Government Contribution
Self]]*(1+$B$14),2)</f>
        <v>259.72000000000003</v>
      </c>
      <c r="AG73" s="89">
        <f>ROUND(Att1SmallCarriers[[#This Row],[2023 Maximum Government Contribution
Self+1]]*(1+$B$14),2)</f>
        <v>560.52</v>
      </c>
      <c r="AH73" s="89">
        <f>ROUND(Att1SmallCarriers[[#This Row],[2023 Maximum Government Contribution
Family]]*(1+$B$14),2)</f>
        <v>611.41999999999996</v>
      </c>
      <c r="AI73" s="217" t="str">
        <f>IF(E73="","",MIN(Att1SmallCarriers[[#This Row],[ESTIMATED 2024 Maximum Government Contribution
Self]],ROUND(AC73*0.75,2)))</f>
        <v/>
      </c>
      <c r="AJ73" s="217" t="str">
        <f>IF(E73="","",MIN(Att1SmallCarriers[[#This Row],[ESTIMATED 2024 Maximum Government Contribution
Self+1]],ROUND(AD73*0.75,2)))</f>
        <v/>
      </c>
      <c r="AK73" s="217" t="str">
        <f>IF(E73="","",MIN(Att1SmallCarriers[[#This Row],[ESTIMATED 2024 Maximum Government Contribution
Family]],ROUND(AE73*0.75,2)))</f>
        <v/>
      </c>
      <c r="AL73" s="38" t="str">
        <f t="shared" si="25"/>
        <v/>
      </c>
      <c r="AM73" s="38" t="str">
        <f t="shared" si="26"/>
        <v/>
      </c>
      <c r="AN73" s="38" t="str">
        <f t="shared" si="27"/>
        <v/>
      </c>
      <c r="AO73" s="218" t="str">
        <f t="shared" si="12"/>
        <v/>
      </c>
      <c r="AP73" s="218" t="str">
        <f t="shared" si="13"/>
        <v/>
      </c>
      <c r="AQ73" s="218" t="str">
        <f t="shared" si="14"/>
        <v/>
      </c>
    </row>
    <row r="74" spans="5:43" ht="15.5" x14ac:dyDescent="0.35">
      <c r="E74" s="223"/>
      <c r="N74" s="40"/>
      <c r="O74" s="40"/>
      <c r="P74" s="40"/>
      <c r="Q74" s="39" t="str">
        <f t="shared" si="16"/>
        <v/>
      </c>
      <c r="R74" s="38" t="str">
        <f t="shared" si="17"/>
        <v/>
      </c>
      <c r="S74" s="38" t="str">
        <f t="shared" si="18"/>
        <v/>
      </c>
      <c r="T74" s="147">
        <v>259.72000000000003</v>
      </c>
      <c r="U74" s="147">
        <v>560.52</v>
      </c>
      <c r="V74" s="147">
        <v>611.41999999999996</v>
      </c>
      <c r="W74" s="38" t="str">
        <f t="shared" si="10"/>
        <v/>
      </c>
      <c r="X74" s="217" t="str">
        <f>IF(E74="","",IF(R74&gt;0,MIN(Att1SmallCarriers[[#This Row],[2023 Maximum Government Contribution
Self+1]],ROUND(R74*0.75,2)),"New Option"))</f>
        <v/>
      </c>
      <c r="Y74" s="217" t="str">
        <f>IF(E74="","",IF(S74&gt;0,MIN(Att1SmallCarriers[[#This Row],[2023 Maximum Government Contribution
Family]],ROUND(S74*0.75,2)),"New Option"))</f>
        <v/>
      </c>
      <c r="Z74" s="38" t="str">
        <f t="shared" si="19"/>
        <v/>
      </c>
      <c r="AA74" s="38" t="str">
        <f t="shared" si="20"/>
        <v/>
      </c>
      <c r="AB74" s="38" t="str">
        <f t="shared" si="21"/>
        <v/>
      </c>
      <c r="AC74" s="38" t="str">
        <f t="shared" si="22"/>
        <v/>
      </c>
      <c r="AD74" s="38" t="str">
        <f t="shared" si="23"/>
        <v/>
      </c>
      <c r="AE74" s="38" t="str">
        <f t="shared" si="24"/>
        <v/>
      </c>
      <c r="AF74" s="89">
        <f>ROUND(Att1SmallCarriers[[#This Row],[2023 Maximum Government Contribution
Self]]*(1+$B$14),2)</f>
        <v>259.72000000000003</v>
      </c>
      <c r="AG74" s="89">
        <f>ROUND(Att1SmallCarriers[[#This Row],[2023 Maximum Government Contribution
Self+1]]*(1+$B$14),2)</f>
        <v>560.52</v>
      </c>
      <c r="AH74" s="89">
        <f>ROUND(Att1SmallCarriers[[#This Row],[2023 Maximum Government Contribution
Family]]*(1+$B$14),2)</f>
        <v>611.41999999999996</v>
      </c>
      <c r="AI74" s="217" t="str">
        <f>IF(E74="","",MIN(Att1SmallCarriers[[#This Row],[ESTIMATED 2024 Maximum Government Contribution
Self]],ROUND(AC74*0.75,2)))</f>
        <v/>
      </c>
      <c r="AJ74" s="217" t="str">
        <f>IF(E74="","",MIN(Att1SmallCarriers[[#This Row],[ESTIMATED 2024 Maximum Government Contribution
Self+1]],ROUND(AD74*0.75,2)))</f>
        <v/>
      </c>
      <c r="AK74" s="217" t="str">
        <f>IF(E74="","",MIN(Att1SmallCarriers[[#This Row],[ESTIMATED 2024 Maximum Government Contribution
Family]],ROUND(AE74*0.75,2)))</f>
        <v/>
      </c>
      <c r="AL74" s="38" t="str">
        <f t="shared" si="25"/>
        <v/>
      </c>
      <c r="AM74" s="38" t="str">
        <f t="shared" si="26"/>
        <v/>
      </c>
      <c r="AN74" s="38" t="str">
        <f t="shared" si="27"/>
        <v/>
      </c>
      <c r="AO74" s="218" t="str">
        <f t="shared" si="12"/>
        <v/>
      </c>
      <c r="AP74" s="218" t="str">
        <f t="shared" si="13"/>
        <v/>
      </c>
      <c r="AQ74" s="218" t="str">
        <f t="shared" si="14"/>
        <v/>
      </c>
    </row>
    <row r="75" spans="5:43" ht="15.5" x14ac:dyDescent="0.35">
      <c r="E75" s="223"/>
      <c r="N75" s="40"/>
      <c r="O75" s="40"/>
      <c r="P75" s="40"/>
      <c r="Q75" s="39" t="str">
        <f t="shared" si="16"/>
        <v/>
      </c>
      <c r="R75" s="38" t="str">
        <f t="shared" si="17"/>
        <v/>
      </c>
      <c r="S75" s="38" t="str">
        <f t="shared" si="18"/>
        <v/>
      </c>
      <c r="T75" s="147">
        <v>259.72000000000003</v>
      </c>
      <c r="U75" s="147">
        <v>560.52</v>
      </c>
      <c r="V75" s="147">
        <v>611.41999999999996</v>
      </c>
      <c r="W75" s="38" t="str">
        <f t="shared" si="10"/>
        <v/>
      </c>
      <c r="X75" s="217" t="str">
        <f>IF(E75="","",IF(R75&gt;0,MIN(Att1SmallCarriers[[#This Row],[2023 Maximum Government Contribution
Self+1]],ROUND(R75*0.75,2)),"New Option"))</f>
        <v/>
      </c>
      <c r="Y75" s="217" t="str">
        <f>IF(E75="","",IF(S75&gt;0,MIN(Att1SmallCarriers[[#This Row],[2023 Maximum Government Contribution
Family]],ROUND(S75*0.75,2)),"New Option"))</f>
        <v/>
      </c>
      <c r="Z75" s="38" t="str">
        <f t="shared" si="19"/>
        <v/>
      </c>
      <c r="AA75" s="38" t="str">
        <f t="shared" si="20"/>
        <v/>
      </c>
      <c r="AB75" s="38" t="str">
        <f t="shared" si="21"/>
        <v/>
      </c>
      <c r="AC75" s="38" t="str">
        <f t="shared" si="22"/>
        <v/>
      </c>
      <c r="AD75" s="38" t="str">
        <f t="shared" si="23"/>
        <v/>
      </c>
      <c r="AE75" s="38" t="str">
        <f t="shared" si="24"/>
        <v/>
      </c>
      <c r="AF75" s="89">
        <f>ROUND(Att1SmallCarriers[[#This Row],[2023 Maximum Government Contribution
Self]]*(1+$B$14),2)</f>
        <v>259.72000000000003</v>
      </c>
      <c r="AG75" s="89">
        <f>ROUND(Att1SmallCarriers[[#This Row],[2023 Maximum Government Contribution
Self+1]]*(1+$B$14),2)</f>
        <v>560.52</v>
      </c>
      <c r="AH75" s="89">
        <f>ROUND(Att1SmallCarriers[[#This Row],[2023 Maximum Government Contribution
Family]]*(1+$B$14),2)</f>
        <v>611.41999999999996</v>
      </c>
      <c r="AI75" s="217" t="str">
        <f>IF(E75="","",MIN(Att1SmallCarriers[[#This Row],[ESTIMATED 2024 Maximum Government Contribution
Self]],ROUND(AC75*0.75,2)))</f>
        <v/>
      </c>
      <c r="AJ75" s="217" t="str">
        <f>IF(E75="","",MIN(Att1SmallCarriers[[#This Row],[ESTIMATED 2024 Maximum Government Contribution
Self+1]],ROUND(AD75*0.75,2)))</f>
        <v/>
      </c>
      <c r="AK75" s="217" t="str">
        <f>IF(E75="","",MIN(Att1SmallCarriers[[#This Row],[ESTIMATED 2024 Maximum Government Contribution
Family]],ROUND(AE75*0.75,2)))</f>
        <v/>
      </c>
      <c r="AL75" s="38" t="str">
        <f t="shared" si="25"/>
        <v/>
      </c>
      <c r="AM75" s="38" t="str">
        <f t="shared" si="26"/>
        <v/>
      </c>
      <c r="AN75" s="38" t="str">
        <f t="shared" si="27"/>
        <v/>
      </c>
      <c r="AO75" s="218" t="str">
        <f t="shared" si="12"/>
        <v/>
      </c>
      <c r="AP75" s="218" t="str">
        <f t="shared" si="13"/>
        <v/>
      </c>
      <c r="AQ75" s="218" t="str">
        <f t="shared" si="14"/>
        <v/>
      </c>
    </row>
    <row r="76" spans="5:43" ht="15.5" x14ac:dyDescent="0.35">
      <c r="E76" s="223"/>
      <c r="N76" s="40"/>
      <c r="O76" s="40"/>
      <c r="P76" s="40"/>
      <c r="Q76" s="39" t="str">
        <f t="shared" si="16"/>
        <v/>
      </c>
      <c r="R76" s="38" t="str">
        <f t="shared" si="17"/>
        <v/>
      </c>
      <c r="S76" s="38" t="str">
        <f t="shared" si="18"/>
        <v/>
      </c>
      <c r="T76" s="147">
        <v>259.72000000000003</v>
      </c>
      <c r="U76" s="147">
        <v>560.52</v>
      </c>
      <c r="V76" s="147">
        <v>611.41999999999996</v>
      </c>
      <c r="W76" s="38" t="str">
        <f t="shared" si="10"/>
        <v/>
      </c>
      <c r="X76" s="217" t="str">
        <f>IF(E76="","",IF(R76&gt;0,MIN(Att1SmallCarriers[[#This Row],[2023 Maximum Government Contribution
Self+1]],ROUND(R76*0.75,2)),"New Option"))</f>
        <v/>
      </c>
      <c r="Y76" s="217" t="str">
        <f>IF(E76="","",IF(S76&gt;0,MIN(Att1SmallCarriers[[#This Row],[2023 Maximum Government Contribution
Family]],ROUND(S76*0.75,2)),"New Option"))</f>
        <v/>
      </c>
      <c r="Z76" s="38" t="str">
        <f t="shared" si="19"/>
        <v/>
      </c>
      <c r="AA76" s="38" t="str">
        <f t="shared" si="20"/>
        <v/>
      </c>
      <c r="AB76" s="38" t="str">
        <f t="shared" si="21"/>
        <v/>
      </c>
      <c r="AC76" s="38" t="str">
        <f t="shared" si="22"/>
        <v/>
      </c>
      <c r="AD76" s="38" t="str">
        <f t="shared" si="23"/>
        <v/>
      </c>
      <c r="AE76" s="38" t="str">
        <f t="shared" si="24"/>
        <v/>
      </c>
      <c r="AF76" s="89">
        <f>ROUND(Att1SmallCarriers[[#This Row],[2023 Maximum Government Contribution
Self]]*(1+$B$14),2)</f>
        <v>259.72000000000003</v>
      </c>
      <c r="AG76" s="89">
        <f>ROUND(Att1SmallCarriers[[#This Row],[2023 Maximum Government Contribution
Self+1]]*(1+$B$14),2)</f>
        <v>560.52</v>
      </c>
      <c r="AH76" s="89">
        <f>ROUND(Att1SmallCarriers[[#This Row],[2023 Maximum Government Contribution
Family]]*(1+$B$14),2)</f>
        <v>611.41999999999996</v>
      </c>
      <c r="AI76" s="217" t="str">
        <f>IF(E76="","",MIN(Att1SmallCarriers[[#This Row],[ESTIMATED 2024 Maximum Government Contribution
Self]],ROUND(AC76*0.75,2)))</f>
        <v/>
      </c>
      <c r="AJ76" s="217" t="str">
        <f>IF(E76="","",MIN(Att1SmallCarriers[[#This Row],[ESTIMATED 2024 Maximum Government Contribution
Self+1]],ROUND(AD76*0.75,2)))</f>
        <v/>
      </c>
      <c r="AK76" s="217" t="str">
        <f>IF(E76="","",MIN(Att1SmallCarriers[[#This Row],[ESTIMATED 2024 Maximum Government Contribution
Family]],ROUND(AE76*0.75,2)))</f>
        <v/>
      </c>
      <c r="AL76" s="38" t="str">
        <f t="shared" si="25"/>
        <v/>
      </c>
      <c r="AM76" s="38" t="str">
        <f t="shared" si="26"/>
        <v/>
      </c>
      <c r="AN76" s="38" t="str">
        <f t="shared" si="27"/>
        <v/>
      </c>
      <c r="AO76" s="218" t="str">
        <f t="shared" si="12"/>
        <v/>
      </c>
      <c r="AP76" s="218" t="str">
        <f t="shared" si="13"/>
        <v/>
      </c>
      <c r="AQ76" s="218" t="str">
        <f t="shared" si="14"/>
        <v/>
      </c>
    </row>
    <row r="77" spans="5:43" ht="15.5" x14ac:dyDescent="0.35">
      <c r="E77" s="223"/>
      <c r="N77" s="40"/>
      <c r="O77" s="40"/>
      <c r="P77" s="40"/>
      <c r="Q77" s="39" t="str">
        <f t="shared" si="16"/>
        <v/>
      </c>
      <c r="R77" s="38" t="str">
        <f t="shared" si="17"/>
        <v/>
      </c>
      <c r="S77" s="38" t="str">
        <f t="shared" si="18"/>
        <v/>
      </c>
      <c r="T77" s="147">
        <v>259.72000000000003</v>
      </c>
      <c r="U77" s="147">
        <v>560.52</v>
      </c>
      <c r="V77" s="147">
        <v>611.41999999999996</v>
      </c>
      <c r="W77" s="38" t="str">
        <f t="shared" si="10"/>
        <v/>
      </c>
      <c r="X77" s="217" t="str">
        <f>IF(E77="","",IF(R77&gt;0,MIN(Att1SmallCarriers[[#This Row],[2023 Maximum Government Contribution
Self+1]],ROUND(R77*0.75,2)),"New Option"))</f>
        <v/>
      </c>
      <c r="Y77" s="217" t="str">
        <f>IF(E77="","",IF(S77&gt;0,MIN(Att1SmallCarriers[[#This Row],[2023 Maximum Government Contribution
Family]],ROUND(S77*0.75,2)),"New Option"))</f>
        <v/>
      </c>
      <c r="Z77" s="38" t="str">
        <f t="shared" si="19"/>
        <v/>
      </c>
      <c r="AA77" s="38" t="str">
        <f t="shared" si="20"/>
        <v/>
      </c>
      <c r="AB77" s="38" t="str">
        <f t="shared" si="21"/>
        <v/>
      </c>
      <c r="AC77" s="38" t="str">
        <f t="shared" si="22"/>
        <v/>
      </c>
      <c r="AD77" s="38" t="str">
        <f t="shared" si="23"/>
        <v/>
      </c>
      <c r="AE77" s="38" t="str">
        <f t="shared" si="24"/>
        <v/>
      </c>
      <c r="AF77" s="89">
        <f>ROUND(Att1SmallCarriers[[#This Row],[2023 Maximum Government Contribution
Self]]*(1+$B$14),2)</f>
        <v>259.72000000000003</v>
      </c>
      <c r="AG77" s="89">
        <f>ROUND(Att1SmallCarriers[[#This Row],[2023 Maximum Government Contribution
Self+1]]*(1+$B$14),2)</f>
        <v>560.52</v>
      </c>
      <c r="AH77" s="89">
        <f>ROUND(Att1SmallCarriers[[#This Row],[2023 Maximum Government Contribution
Family]]*(1+$B$14),2)</f>
        <v>611.41999999999996</v>
      </c>
      <c r="AI77" s="217" t="str">
        <f>IF(E77="","",MIN(Att1SmallCarriers[[#This Row],[ESTIMATED 2024 Maximum Government Contribution
Self]],ROUND(AC77*0.75,2)))</f>
        <v/>
      </c>
      <c r="AJ77" s="217" t="str">
        <f>IF(E77="","",MIN(Att1SmallCarriers[[#This Row],[ESTIMATED 2024 Maximum Government Contribution
Self+1]],ROUND(AD77*0.75,2)))</f>
        <v/>
      </c>
      <c r="AK77" s="217" t="str">
        <f>IF(E77="","",MIN(Att1SmallCarriers[[#This Row],[ESTIMATED 2024 Maximum Government Contribution
Family]],ROUND(AE77*0.75,2)))</f>
        <v/>
      </c>
      <c r="AL77" s="38" t="str">
        <f t="shared" si="25"/>
        <v/>
      </c>
      <c r="AM77" s="38" t="str">
        <f t="shared" si="26"/>
        <v/>
      </c>
      <c r="AN77" s="38" t="str">
        <f t="shared" si="27"/>
        <v/>
      </c>
      <c r="AO77" s="218" t="str">
        <f t="shared" si="12"/>
        <v/>
      </c>
      <c r="AP77" s="218" t="str">
        <f t="shared" si="13"/>
        <v/>
      </c>
      <c r="AQ77" s="218" t="str">
        <f t="shared" si="14"/>
        <v/>
      </c>
    </row>
    <row r="78" spans="5:43" ht="15.5" x14ac:dyDescent="0.35">
      <c r="E78" s="223"/>
      <c r="N78" s="40"/>
      <c r="O78" s="40"/>
      <c r="P78" s="40"/>
      <c r="Q78" s="39" t="str">
        <f t="shared" si="16"/>
        <v/>
      </c>
      <c r="R78" s="38" t="str">
        <f t="shared" si="17"/>
        <v/>
      </c>
      <c r="S78" s="38" t="str">
        <f t="shared" si="18"/>
        <v/>
      </c>
      <c r="T78" s="147">
        <v>259.72000000000003</v>
      </c>
      <c r="U78" s="147">
        <v>560.52</v>
      </c>
      <c r="V78" s="147">
        <v>611.41999999999996</v>
      </c>
      <c r="W78" s="38" t="str">
        <f t="shared" si="10"/>
        <v/>
      </c>
      <c r="X78" s="217" t="str">
        <f>IF(E78="","",IF(R78&gt;0,MIN(Att1SmallCarriers[[#This Row],[2023 Maximum Government Contribution
Self+1]],ROUND(R78*0.75,2)),"New Option"))</f>
        <v/>
      </c>
      <c r="Y78" s="217" t="str">
        <f>IF(E78="","",IF(S78&gt;0,MIN(Att1SmallCarriers[[#This Row],[2023 Maximum Government Contribution
Family]],ROUND(S78*0.75,2)),"New Option"))</f>
        <v/>
      </c>
      <c r="Z78" s="38" t="str">
        <f t="shared" si="19"/>
        <v/>
      </c>
      <c r="AA78" s="38" t="str">
        <f t="shared" si="20"/>
        <v/>
      </c>
      <c r="AB78" s="38" t="str">
        <f t="shared" si="21"/>
        <v/>
      </c>
      <c r="AC78" s="38" t="str">
        <f t="shared" si="22"/>
        <v/>
      </c>
      <c r="AD78" s="38" t="str">
        <f t="shared" si="23"/>
        <v/>
      </c>
      <c r="AE78" s="38" t="str">
        <f t="shared" si="24"/>
        <v/>
      </c>
      <c r="AF78" s="89">
        <f>ROUND(Att1SmallCarriers[[#This Row],[2023 Maximum Government Contribution
Self]]*(1+$B$14),2)</f>
        <v>259.72000000000003</v>
      </c>
      <c r="AG78" s="89">
        <f>ROUND(Att1SmallCarriers[[#This Row],[2023 Maximum Government Contribution
Self+1]]*(1+$B$14),2)</f>
        <v>560.52</v>
      </c>
      <c r="AH78" s="89">
        <f>ROUND(Att1SmallCarriers[[#This Row],[2023 Maximum Government Contribution
Family]]*(1+$B$14),2)</f>
        <v>611.41999999999996</v>
      </c>
      <c r="AI78" s="217" t="str">
        <f>IF(E78="","",MIN(Att1SmallCarriers[[#This Row],[ESTIMATED 2024 Maximum Government Contribution
Self]],ROUND(AC78*0.75,2)))</f>
        <v/>
      </c>
      <c r="AJ78" s="217" t="str">
        <f>IF(E78="","",MIN(Att1SmallCarriers[[#This Row],[ESTIMATED 2024 Maximum Government Contribution
Self+1]],ROUND(AD78*0.75,2)))</f>
        <v/>
      </c>
      <c r="AK78" s="217" t="str">
        <f>IF(E78="","",MIN(Att1SmallCarriers[[#This Row],[ESTIMATED 2024 Maximum Government Contribution
Family]],ROUND(AE78*0.75,2)))</f>
        <v/>
      </c>
      <c r="AL78" s="38" t="str">
        <f t="shared" si="25"/>
        <v/>
      </c>
      <c r="AM78" s="38" t="str">
        <f t="shared" si="26"/>
        <v/>
      </c>
      <c r="AN78" s="38" t="str">
        <f t="shared" si="27"/>
        <v/>
      </c>
      <c r="AO78" s="218" t="str">
        <f t="shared" si="12"/>
        <v/>
      </c>
      <c r="AP78" s="218" t="str">
        <f t="shared" si="13"/>
        <v/>
      </c>
      <c r="AQ78" s="218" t="str">
        <f t="shared" si="14"/>
        <v/>
      </c>
    </row>
    <row r="79" spans="5:43" ht="15.5" x14ac:dyDescent="0.35">
      <c r="E79" s="223"/>
      <c r="N79" s="40"/>
      <c r="O79" s="40"/>
      <c r="P79" s="40"/>
      <c r="Q79" s="39" t="str">
        <f t="shared" si="16"/>
        <v/>
      </c>
      <c r="R79" s="38" t="str">
        <f t="shared" si="17"/>
        <v/>
      </c>
      <c r="S79" s="38" t="str">
        <f t="shared" si="18"/>
        <v/>
      </c>
      <c r="T79" s="147">
        <v>259.72000000000003</v>
      </c>
      <c r="U79" s="147">
        <v>560.52</v>
      </c>
      <c r="V79" s="147">
        <v>611.41999999999996</v>
      </c>
      <c r="W79" s="38" t="str">
        <f t="shared" si="10"/>
        <v/>
      </c>
      <c r="X79" s="217" t="str">
        <f>IF(E79="","",IF(R79&gt;0,MIN(Att1SmallCarriers[[#This Row],[2023 Maximum Government Contribution
Self+1]],ROUND(R79*0.75,2)),"New Option"))</f>
        <v/>
      </c>
      <c r="Y79" s="217" t="str">
        <f>IF(E79="","",IF(S79&gt;0,MIN(Att1SmallCarriers[[#This Row],[2023 Maximum Government Contribution
Family]],ROUND(S79*0.75,2)),"New Option"))</f>
        <v/>
      </c>
      <c r="Z79" s="38" t="str">
        <f t="shared" si="19"/>
        <v/>
      </c>
      <c r="AA79" s="38" t="str">
        <f t="shared" si="20"/>
        <v/>
      </c>
      <c r="AB79" s="38" t="str">
        <f t="shared" si="21"/>
        <v/>
      </c>
      <c r="AC79" s="38" t="str">
        <f t="shared" si="22"/>
        <v/>
      </c>
      <c r="AD79" s="38" t="str">
        <f t="shared" si="23"/>
        <v/>
      </c>
      <c r="AE79" s="38" t="str">
        <f t="shared" si="24"/>
        <v/>
      </c>
      <c r="AF79" s="89">
        <f>ROUND(Att1SmallCarriers[[#This Row],[2023 Maximum Government Contribution
Self]]*(1+$B$14),2)</f>
        <v>259.72000000000003</v>
      </c>
      <c r="AG79" s="89">
        <f>ROUND(Att1SmallCarriers[[#This Row],[2023 Maximum Government Contribution
Self+1]]*(1+$B$14),2)</f>
        <v>560.52</v>
      </c>
      <c r="AH79" s="89">
        <f>ROUND(Att1SmallCarriers[[#This Row],[2023 Maximum Government Contribution
Family]]*(1+$B$14),2)</f>
        <v>611.41999999999996</v>
      </c>
      <c r="AI79" s="217" t="str">
        <f>IF(E79="","",MIN(Att1SmallCarriers[[#This Row],[ESTIMATED 2024 Maximum Government Contribution
Self]],ROUND(AC79*0.75,2)))</f>
        <v/>
      </c>
      <c r="AJ79" s="217" t="str">
        <f>IF(E79="","",MIN(Att1SmallCarriers[[#This Row],[ESTIMATED 2024 Maximum Government Contribution
Self+1]],ROUND(AD79*0.75,2)))</f>
        <v/>
      </c>
      <c r="AK79" s="217" t="str">
        <f>IF(E79="","",MIN(Att1SmallCarriers[[#This Row],[ESTIMATED 2024 Maximum Government Contribution
Family]],ROUND(AE79*0.75,2)))</f>
        <v/>
      </c>
      <c r="AL79" s="38" t="str">
        <f t="shared" si="25"/>
        <v/>
      </c>
      <c r="AM79" s="38" t="str">
        <f t="shared" si="26"/>
        <v/>
      </c>
      <c r="AN79" s="38" t="str">
        <f t="shared" si="27"/>
        <v/>
      </c>
      <c r="AO79" s="218" t="str">
        <f t="shared" si="12"/>
        <v/>
      </c>
      <c r="AP79" s="218" t="str">
        <f t="shared" si="13"/>
        <v/>
      </c>
      <c r="AQ79" s="218" t="str">
        <f t="shared" si="14"/>
        <v/>
      </c>
    </row>
    <row r="80" spans="5:43" ht="15.5" x14ac:dyDescent="0.35">
      <c r="E80" s="223"/>
      <c r="N80" s="40"/>
      <c r="O80" s="40"/>
      <c r="P80" s="40"/>
      <c r="Q80" s="39" t="str">
        <f t="shared" si="16"/>
        <v/>
      </c>
      <c r="R80" s="38" t="str">
        <f t="shared" si="17"/>
        <v/>
      </c>
      <c r="S80" s="38" t="str">
        <f t="shared" si="18"/>
        <v/>
      </c>
      <c r="T80" s="147">
        <v>259.72000000000003</v>
      </c>
      <c r="U80" s="147">
        <v>560.52</v>
      </c>
      <c r="V80" s="147">
        <v>611.41999999999996</v>
      </c>
      <c r="W80" s="38" t="str">
        <f t="shared" si="10"/>
        <v/>
      </c>
      <c r="X80" s="217" t="str">
        <f>IF(E80="","",IF(R80&gt;0,MIN(Att1SmallCarriers[[#This Row],[2023 Maximum Government Contribution
Self+1]],ROUND(R80*0.75,2)),"New Option"))</f>
        <v/>
      </c>
      <c r="Y80" s="217" t="str">
        <f>IF(E80="","",IF(S80&gt;0,MIN(Att1SmallCarriers[[#This Row],[2023 Maximum Government Contribution
Family]],ROUND(S80*0.75,2)),"New Option"))</f>
        <v/>
      </c>
      <c r="Z80" s="38" t="str">
        <f t="shared" si="19"/>
        <v/>
      </c>
      <c r="AA80" s="38" t="str">
        <f t="shared" si="20"/>
        <v/>
      </c>
      <c r="AB80" s="38" t="str">
        <f t="shared" si="21"/>
        <v/>
      </c>
      <c r="AC80" s="38" t="str">
        <f t="shared" si="22"/>
        <v/>
      </c>
      <c r="AD80" s="38" t="str">
        <f t="shared" si="23"/>
        <v/>
      </c>
      <c r="AE80" s="38" t="str">
        <f t="shared" si="24"/>
        <v/>
      </c>
      <c r="AF80" s="89">
        <f>ROUND(Att1SmallCarriers[[#This Row],[2023 Maximum Government Contribution
Self]]*(1+$B$14),2)</f>
        <v>259.72000000000003</v>
      </c>
      <c r="AG80" s="89">
        <f>ROUND(Att1SmallCarriers[[#This Row],[2023 Maximum Government Contribution
Self+1]]*(1+$B$14),2)</f>
        <v>560.52</v>
      </c>
      <c r="AH80" s="89">
        <f>ROUND(Att1SmallCarriers[[#This Row],[2023 Maximum Government Contribution
Family]]*(1+$B$14),2)</f>
        <v>611.41999999999996</v>
      </c>
      <c r="AI80" s="217" t="str">
        <f>IF(E80="","",MIN(Att1SmallCarriers[[#This Row],[ESTIMATED 2024 Maximum Government Contribution
Self]],ROUND(AC80*0.75,2)))</f>
        <v/>
      </c>
      <c r="AJ80" s="217" t="str">
        <f>IF(E80="","",MIN(Att1SmallCarriers[[#This Row],[ESTIMATED 2024 Maximum Government Contribution
Self+1]],ROUND(AD80*0.75,2)))</f>
        <v/>
      </c>
      <c r="AK80" s="217" t="str">
        <f>IF(E80="","",MIN(Att1SmallCarriers[[#This Row],[ESTIMATED 2024 Maximum Government Contribution
Family]],ROUND(AE80*0.75,2)))</f>
        <v/>
      </c>
      <c r="AL80" s="38" t="str">
        <f t="shared" si="25"/>
        <v/>
      </c>
      <c r="AM80" s="38" t="str">
        <f t="shared" si="26"/>
        <v/>
      </c>
      <c r="AN80" s="38" t="str">
        <f t="shared" si="27"/>
        <v/>
      </c>
      <c r="AO80" s="218" t="str">
        <f t="shared" si="12"/>
        <v/>
      </c>
      <c r="AP80" s="218" t="str">
        <f t="shared" si="13"/>
        <v/>
      </c>
      <c r="AQ80" s="218" t="str">
        <f t="shared" si="14"/>
        <v/>
      </c>
    </row>
    <row r="81" spans="5:43" ht="15.5" x14ac:dyDescent="0.35">
      <c r="E81" s="223"/>
      <c r="N81" s="40"/>
      <c r="O81" s="40"/>
      <c r="P81" s="40"/>
      <c r="Q81" s="39" t="str">
        <f t="shared" si="16"/>
        <v/>
      </c>
      <c r="R81" s="38" t="str">
        <f t="shared" si="17"/>
        <v/>
      </c>
      <c r="S81" s="38" t="str">
        <f t="shared" si="18"/>
        <v/>
      </c>
      <c r="T81" s="147">
        <v>259.72000000000003</v>
      </c>
      <c r="U81" s="147">
        <v>560.52</v>
      </c>
      <c r="V81" s="147">
        <v>611.41999999999996</v>
      </c>
      <c r="W81" s="38" t="str">
        <f t="shared" si="10"/>
        <v/>
      </c>
      <c r="X81" s="217" t="str">
        <f>IF(E81="","",IF(R81&gt;0,MIN(Att1SmallCarriers[[#This Row],[2023 Maximum Government Contribution
Self+1]],ROUND(R81*0.75,2)),"New Option"))</f>
        <v/>
      </c>
      <c r="Y81" s="217" t="str">
        <f>IF(E81="","",IF(S81&gt;0,MIN(Att1SmallCarriers[[#This Row],[2023 Maximum Government Contribution
Family]],ROUND(S81*0.75,2)),"New Option"))</f>
        <v/>
      </c>
      <c r="Z81" s="38" t="str">
        <f t="shared" si="19"/>
        <v/>
      </c>
      <c r="AA81" s="38" t="str">
        <f t="shared" si="20"/>
        <v/>
      </c>
      <c r="AB81" s="38" t="str">
        <f t="shared" si="21"/>
        <v/>
      </c>
      <c r="AC81" s="38" t="str">
        <f t="shared" si="22"/>
        <v/>
      </c>
      <c r="AD81" s="38" t="str">
        <f t="shared" si="23"/>
        <v/>
      </c>
      <c r="AE81" s="38" t="str">
        <f t="shared" si="24"/>
        <v/>
      </c>
      <c r="AF81" s="89">
        <f>ROUND(Att1SmallCarriers[[#This Row],[2023 Maximum Government Contribution
Self]]*(1+$B$14),2)</f>
        <v>259.72000000000003</v>
      </c>
      <c r="AG81" s="89">
        <f>ROUND(Att1SmallCarriers[[#This Row],[2023 Maximum Government Contribution
Self+1]]*(1+$B$14),2)</f>
        <v>560.52</v>
      </c>
      <c r="AH81" s="89">
        <f>ROUND(Att1SmallCarriers[[#This Row],[2023 Maximum Government Contribution
Family]]*(1+$B$14),2)</f>
        <v>611.41999999999996</v>
      </c>
      <c r="AI81" s="217" t="str">
        <f>IF(E81="","",MIN(Att1SmallCarriers[[#This Row],[ESTIMATED 2024 Maximum Government Contribution
Self]],ROUND(AC81*0.75,2)))</f>
        <v/>
      </c>
      <c r="AJ81" s="217" t="str">
        <f>IF(E81="","",MIN(Att1SmallCarriers[[#This Row],[ESTIMATED 2024 Maximum Government Contribution
Self+1]],ROUND(AD81*0.75,2)))</f>
        <v/>
      </c>
      <c r="AK81" s="217" t="str">
        <f>IF(E81="","",MIN(Att1SmallCarriers[[#This Row],[ESTIMATED 2024 Maximum Government Contribution
Family]],ROUND(AE81*0.75,2)))</f>
        <v/>
      </c>
      <c r="AL81" s="38" t="str">
        <f t="shared" si="25"/>
        <v/>
      </c>
      <c r="AM81" s="38" t="str">
        <f t="shared" si="26"/>
        <v/>
      </c>
      <c r="AN81" s="38" t="str">
        <f t="shared" si="27"/>
        <v/>
      </c>
      <c r="AO81" s="218" t="str">
        <f t="shared" si="12"/>
        <v/>
      </c>
      <c r="AP81" s="218" t="str">
        <f t="shared" si="13"/>
        <v/>
      </c>
      <c r="AQ81" s="218" t="str">
        <f t="shared" si="14"/>
        <v/>
      </c>
    </row>
    <row r="82" spans="5:43" ht="15.5" x14ac:dyDescent="0.35">
      <c r="E82" s="223"/>
      <c r="N82" s="40"/>
      <c r="O82" s="40"/>
      <c r="P82" s="40"/>
      <c r="Q82" s="39" t="str">
        <f t="shared" si="16"/>
        <v/>
      </c>
      <c r="R82" s="38" t="str">
        <f t="shared" si="17"/>
        <v/>
      </c>
      <c r="S82" s="38" t="str">
        <f t="shared" si="18"/>
        <v/>
      </c>
      <c r="T82" s="147">
        <v>259.72000000000003</v>
      </c>
      <c r="U82" s="147">
        <v>560.52</v>
      </c>
      <c r="V82" s="147">
        <v>611.41999999999996</v>
      </c>
      <c r="W82" s="38" t="str">
        <f t="shared" si="10"/>
        <v/>
      </c>
      <c r="X82" s="217" t="str">
        <f>IF(E82="","",IF(R82&gt;0,MIN(Att1SmallCarriers[[#This Row],[2023 Maximum Government Contribution
Self+1]],ROUND(R82*0.75,2)),"New Option"))</f>
        <v/>
      </c>
      <c r="Y82" s="217" t="str">
        <f>IF(E82="","",IF(S82&gt;0,MIN(Att1SmallCarriers[[#This Row],[2023 Maximum Government Contribution
Family]],ROUND(S82*0.75,2)),"New Option"))</f>
        <v/>
      </c>
      <c r="Z82" s="38" t="str">
        <f t="shared" si="19"/>
        <v/>
      </c>
      <c r="AA82" s="38" t="str">
        <f t="shared" si="20"/>
        <v/>
      </c>
      <c r="AB82" s="38" t="str">
        <f t="shared" si="21"/>
        <v/>
      </c>
      <c r="AC82" s="38" t="str">
        <f t="shared" si="22"/>
        <v/>
      </c>
      <c r="AD82" s="38" t="str">
        <f t="shared" si="23"/>
        <v/>
      </c>
      <c r="AE82" s="38" t="str">
        <f t="shared" si="24"/>
        <v/>
      </c>
      <c r="AF82" s="89">
        <f>ROUND(Att1SmallCarriers[[#This Row],[2023 Maximum Government Contribution
Self]]*(1+$B$14),2)</f>
        <v>259.72000000000003</v>
      </c>
      <c r="AG82" s="89">
        <f>ROUND(Att1SmallCarriers[[#This Row],[2023 Maximum Government Contribution
Self+1]]*(1+$B$14),2)</f>
        <v>560.52</v>
      </c>
      <c r="AH82" s="89">
        <f>ROUND(Att1SmallCarriers[[#This Row],[2023 Maximum Government Contribution
Family]]*(1+$B$14),2)</f>
        <v>611.41999999999996</v>
      </c>
      <c r="AI82" s="217" t="str">
        <f>IF(E82="","",MIN(Att1SmallCarriers[[#This Row],[ESTIMATED 2024 Maximum Government Contribution
Self]],ROUND(AC82*0.75,2)))</f>
        <v/>
      </c>
      <c r="AJ82" s="217" t="str">
        <f>IF(E82="","",MIN(Att1SmallCarriers[[#This Row],[ESTIMATED 2024 Maximum Government Contribution
Self+1]],ROUND(AD82*0.75,2)))</f>
        <v/>
      </c>
      <c r="AK82" s="217" t="str">
        <f>IF(E82="","",MIN(Att1SmallCarriers[[#This Row],[ESTIMATED 2024 Maximum Government Contribution
Family]],ROUND(AE82*0.75,2)))</f>
        <v/>
      </c>
      <c r="AL82" s="38" t="str">
        <f t="shared" si="25"/>
        <v/>
      </c>
      <c r="AM82" s="38" t="str">
        <f t="shared" si="26"/>
        <v/>
      </c>
      <c r="AN82" s="38" t="str">
        <f t="shared" si="27"/>
        <v/>
      </c>
      <c r="AO82" s="218" t="str">
        <f t="shared" si="12"/>
        <v/>
      </c>
      <c r="AP82" s="218" t="str">
        <f t="shared" si="13"/>
        <v/>
      </c>
      <c r="AQ82" s="218" t="str">
        <f t="shared" si="14"/>
        <v/>
      </c>
    </row>
    <row r="83" spans="5:43" ht="15.5" x14ac:dyDescent="0.35">
      <c r="E83" s="223"/>
      <c r="N83" s="40"/>
      <c r="O83" s="40"/>
      <c r="P83" s="40"/>
      <c r="Q83" s="39" t="str">
        <f t="shared" si="16"/>
        <v/>
      </c>
      <c r="R83" s="38" t="str">
        <f t="shared" si="17"/>
        <v/>
      </c>
      <c r="S83" s="38" t="str">
        <f t="shared" si="18"/>
        <v/>
      </c>
      <c r="T83" s="147">
        <v>259.72000000000003</v>
      </c>
      <c r="U83" s="147">
        <v>560.52</v>
      </c>
      <c r="V83" s="147">
        <v>611.41999999999996</v>
      </c>
      <c r="W83" s="38" t="str">
        <f t="shared" si="10"/>
        <v/>
      </c>
      <c r="X83" s="217" t="str">
        <f>IF(E83="","",IF(R83&gt;0,MIN(Att1SmallCarriers[[#This Row],[2023 Maximum Government Contribution
Self+1]],ROUND(R83*0.75,2)),"New Option"))</f>
        <v/>
      </c>
      <c r="Y83" s="217" t="str">
        <f>IF(E83="","",IF(S83&gt;0,MIN(Att1SmallCarriers[[#This Row],[2023 Maximum Government Contribution
Family]],ROUND(S83*0.75,2)),"New Option"))</f>
        <v/>
      </c>
      <c r="Z83" s="38" t="str">
        <f t="shared" ref="Z83:Z114" si="28">IF(E83="","",IF(Q83&gt;0, Q83-W83,"New Option"))</f>
        <v/>
      </c>
      <c r="AA83" s="38" t="str">
        <f t="shared" ref="AA83:AA114" si="29">IF(E83="","",IF(R83&gt;0, R83-X83,"New Option"))</f>
        <v/>
      </c>
      <c r="AB83" s="38" t="str">
        <f t="shared" ref="AB83:AB114" si="30">IF(E83="","",IF(S83&gt;0, S83-Y83,"New Option"))</f>
        <v/>
      </c>
      <c r="AC83" s="38" t="str">
        <f t="shared" ref="AC83:AC114" si="31">IF(E83="","",ROUND(K83*1.04,2))</f>
        <v/>
      </c>
      <c r="AD83" s="38" t="str">
        <f t="shared" ref="AD83:AD114" si="32">IF(E83="","",ROUND(L83*1.04,2))</f>
        <v/>
      </c>
      <c r="AE83" s="38" t="str">
        <f t="shared" ref="AE83:AE114" si="33">IF(E83="","",ROUND(M83*1.04,2))</f>
        <v/>
      </c>
      <c r="AF83" s="89">
        <f>ROUND(Att1SmallCarriers[[#This Row],[2023 Maximum Government Contribution
Self]]*(1+$B$14),2)</f>
        <v>259.72000000000003</v>
      </c>
      <c r="AG83" s="89">
        <f>ROUND(Att1SmallCarriers[[#This Row],[2023 Maximum Government Contribution
Self+1]]*(1+$B$14),2)</f>
        <v>560.52</v>
      </c>
      <c r="AH83" s="89">
        <f>ROUND(Att1SmallCarriers[[#This Row],[2023 Maximum Government Contribution
Family]]*(1+$B$14),2)</f>
        <v>611.41999999999996</v>
      </c>
      <c r="AI83" s="217" t="str">
        <f>IF(E83="","",MIN(Att1SmallCarriers[[#This Row],[ESTIMATED 2024 Maximum Government Contribution
Self]],ROUND(AC83*0.75,2)))</f>
        <v/>
      </c>
      <c r="AJ83" s="217" t="str">
        <f>IF(E83="","",MIN(Att1SmallCarriers[[#This Row],[ESTIMATED 2024 Maximum Government Contribution
Self+1]],ROUND(AD83*0.75,2)))</f>
        <v/>
      </c>
      <c r="AK83" s="217" t="str">
        <f>IF(E83="","",MIN(Att1SmallCarriers[[#This Row],[ESTIMATED 2024 Maximum Government Contribution
Family]],ROUND(AE83*0.75,2)))</f>
        <v/>
      </c>
      <c r="AL83" s="38" t="str">
        <f t="shared" ref="AL83:AL114" si="34">IF(E83="","",AC83-AI83)</f>
        <v/>
      </c>
      <c r="AM83" s="38" t="str">
        <f t="shared" ref="AM83:AM114" si="35">IF(E83="","",AD83-AJ83)</f>
        <v/>
      </c>
      <c r="AN83" s="38" t="str">
        <f t="shared" ref="AN83:AN114" si="36">IF(E83="","",AE83-AK83)</f>
        <v/>
      </c>
      <c r="AO83" s="218" t="str">
        <f t="shared" si="12"/>
        <v/>
      </c>
      <c r="AP83" s="218" t="str">
        <f t="shared" si="13"/>
        <v/>
      </c>
      <c r="AQ83" s="218" t="str">
        <f t="shared" si="14"/>
        <v/>
      </c>
    </row>
    <row r="84" spans="5:43" ht="15.5" x14ac:dyDescent="0.35">
      <c r="E84" s="223"/>
      <c r="N84" s="40"/>
      <c r="O84" s="40"/>
      <c r="P84" s="40"/>
      <c r="Q84" s="39" t="str">
        <f t="shared" ref="Q84:Q147" si="37">IF(E84="","",ROUND(N84*1.04,2))</f>
        <v/>
      </c>
      <c r="R84" s="38" t="str">
        <f t="shared" ref="R84:R147" si="38">IF(E84="","",ROUND(O84*1.04,2))</f>
        <v/>
      </c>
      <c r="S84" s="38" t="str">
        <f t="shared" ref="S84:S147" si="39">IF(E84="","",ROUND(P84*1.04,2))</f>
        <v/>
      </c>
      <c r="T84" s="147">
        <v>259.72000000000003</v>
      </c>
      <c r="U84" s="147">
        <v>560.52</v>
      </c>
      <c r="V84" s="147">
        <v>611.41999999999996</v>
      </c>
      <c r="W84" s="38" t="str">
        <f t="shared" ref="W84:W147" si="40">IF(E84="","",IF(Q84&gt;0,MIN(T84,ROUND(Q84*0.75,2)),"New Option"))</f>
        <v/>
      </c>
      <c r="X84" s="217" t="str">
        <f>IF(E84="","",IF(R84&gt;0,MIN(Att1SmallCarriers[[#This Row],[2023 Maximum Government Contribution
Self+1]],ROUND(R84*0.75,2)),"New Option"))</f>
        <v/>
      </c>
      <c r="Y84" s="217" t="str">
        <f>IF(E84="","",IF(S84&gt;0,MIN(Att1SmallCarriers[[#This Row],[2023 Maximum Government Contribution
Family]],ROUND(S84*0.75,2)),"New Option"))</f>
        <v/>
      </c>
      <c r="Z84" s="38" t="str">
        <f t="shared" si="28"/>
        <v/>
      </c>
      <c r="AA84" s="38" t="str">
        <f t="shared" si="29"/>
        <v/>
      </c>
      <c r="AB84" s="38" t="str">
        <f t="shared" si="30"/>
        <v/>
      </c>
      <c r="AC84" s="38" t="str">
        <f t="shared" si="31"/>
        <v/>
      </c>
      <c r="AD84" s="38" t="str">
        <f t="shared" si="32"/>
        <v/>
      </c>
      <c r="AE84" s="38" t="str">
        <f t="shared" si="33"/>
        <v/>
      </c>
      <c r="AF84" s="89">
        <f>ROUND(Att1SmallCarriers[[#This Row],[2023 Maximum Government Contribution
Self]]*(1+$B$14),2)</f>
        <v>259.72000000000003</v>
      </c>
      <c r="AG84" s="89">
        <f>ROUND(Att1SmallCarriers[[#This Row],[2023 Maximum Government Contribution
Self+1]]*(1+$B$14),2)</f>
        <v>560.52</v>
      </c>
      <c r="AH84" s="89">
        <f>ROUND(Att1SmallCarriers[[#This Row],[2023 Maximum Government Contribution
Family]]*(1+$B$14),2)</f>
        <v>611.41999999999996</v>
      </c>
      <c r="AI84" s="217" t="str">
        <f>IF(E84="","",MIN(Att1SmallCarriers[[#This Row],[ESTIMATED 2024 Maximum Government Contribution
Self]],ROUND(AC84*0.75,2)))</f>
        <v/>
      </c>
      <c r="AJ84" s="217" t="str">
        <f>IF(E84="","",MIN(Att1SmallCarriers[[#This Row],[ESTIMATED 2024 Maximum Government Contribution
Self+1]],ROUND(AD84*0.75,2)))</f>
        <v/>
      </c>
      <c r="AK84" s="217" t="str">
        <f>IF(E84="","",MIN(Att1SmallCarriers[[#This Row],[ESTIMATED 2024 Maximum Government Contribution
Family]],ROUND(AE84*0.75,2)))</f>
        <v/>
      </c>
      <c r="AL84" s="38" t="str">
        <f t="shared" si="34"/>
        <v/>
      </c>
      <c r="AM84" s="38" t="str">
        <f t="shared" si="35"/>
        <v/>
      </c>
      <c r="AN84" s="38" t="str">
        <f t="shared" si="36"/>
        <v/>
      </c>
      <c r="AO84" s="218" t="str">
        <f t="shared" ref="AO84:AO147" si="41">IF(E84="","",IFERROR(AL84/Z84-1,"New Option"))</f>
        <v/>
      </c>
      <c r="AP84" s="218" t="str">
        <f t="shared" ref="AP84:AP147" si="42">IF(E84="","",IFERROR(AM84/AA84-1,"New Option"))</f>
        <v/>
      </c>
      <c r="AQ84" s="218" t="str">
        <f t="shared" ref="AQ84:AQ147" si="43">IF(E84="","",IFERROR(AN84/AB84-1,"New Option"))</f>
        <v/>
      </c>
    </row>
    <row r="85" spans="5:43" ht="15.5" x14ac:dyDescent="0.35">
      <c r="E85" s="223"/>
      <c r="N85" s="40"/>
      <c r="O85" s="40"/>
      <c r="P85" s="40"/>
      <c r="Q85" s="39" t="str">
        <f t="shared" si="37"/>
        <v/>
      </c>
      <c r="R85" s="38" t="str">
        <f t="shared" si="38"/>
        <v/>
      </c>
      <c r="S85" s="38" t="str">
        <f t="shared" si="39"/>
        <v/>
      </c>
      <c r="T85" s="147">
        <v>259.72000000000003</v>
      </c>
      <c r="U85" s="147">
        <v>560.52</v>
      </c>
      <c r="V85" s="147">
        <v>611.41999999999996</v>
      </c>
      <c r="W85" s="38" t="str">
        <f t="shared" si="40"/>
        <v/>
      </c>
      <c r="X85" s="217" t="str">
        <f>IF(E85="","",IF(R85&gt;0,MIN(Att1SmallCarriers[[#This Row],[2023 Maximum Government Contribution
Self+1]],ROUND(R85*0.75,2)),"New Option"))</f>
        <v/>
      </c>
      <c r="Y85" s="217" t="str">
        <f>IF(E85="","",IF(S85&gt;0,MIN(Att1SmallCarriers[[#This Row],[2023 Maximum Government Contribution
Family]],ROUND(S85*0.75,2)),"New Option"))</f>
        <v/>
      </c>
      <c r="Z85" s="38" t="str">
        <f t="shared" si="28"/>
        <v/>
      </c>
      <c r="AA85" s="38" t="str">
        <f t="shared" si="29"/>
        <v/>
      </c>
      <c r="AB85" s="38" t="str">
        <f t="shared" si="30"/>
        <v/>
      </c>
      <c r="AC85" s="38" t="str">
        <f t="shared" si="31"/>
        <v/>
      </c>
      <c r="AD85" s="38" t="str">
        <f t="shared" si="32"/>
        <v/>
      </c>
      <c r="AE85" s="38" t="str">
        <f t="shared" si="33"/>
        <v/>
      </c>
      <c r="AF85" s="89">
        <f>ROUND(Att1SmallCarriers[[#This Row],[2023 Maximum Government Contribution
Self]]*(1+$B$14),2)</f>
        <v>259.72000000000003</v>
      </c>
      <c r="AG85" s="89">
        <f>ROUND(Att1SmallCarriers[[#This Row],[2023 Maximum Government Contribution
Self+1]]*(1+$B$14),2)</f>
        <v>560.52</v>
      </c>
      <c r="AH85" s="89">
        <f>ROUND(Att1SmallCarriers[[#This Row],[2023 Maximum Government Contribution
Family]]*(1+$B$14),2)</f>
        <v>611.41999999999996</v>
      </c>
      <c r="AI85" s="217" t="str">
        <f>IF(E85="","",MIN(Att1SmallCarriers[[#This Row],[ESTIMATED 2024 Maximum Government Contribution
Self]],ROUND(AC85*0.75,2)))</f>
        <v/>
      </c>
      <c r="AJ85" s="217" t="str">
        <f>IF(E85="","",MIN(Att1SmallCarriers[[#This Row],[ESTIMATED 2024 Maximum Government Contribution
Self+1]],ROUND(AD85*0.75,2)))</f>
        <v/>
      </c>
      <c r="AK85" s="217" t="str">
        <f>IF(E85="","",MIN(Att1SmallCarriers[[#This Row],[ESTIMATED 2024 Maximum Government Contribution
Family]],ROUND(AE85*0.75,2)))</f>
        <v/>
      </c>
      <c r="AL85" s="38" t="str">
        <f t="shared" si="34"/>
        <v/>
      </c>
      <c r="AM85" s="38" t="str">
        <f t="shared" si="35"/>
        <v/>
      </c>
      <c r="AN85" s="38" t="str">
        <f t="shared" si="36"/>
        <v/>
      </c>
      <c r="AO85" s="218" t="str">
        <f t="shared" si="41"/>
        <v/>
      </c>
      <c r="AP85" s="218" t="str">
        <f t="shared" si="42"/>
        <v/>
      </c>
      <c r="AQ85" s="218" t="str">
        <f t="shared" si="43"/>
        <v/>
      </c>
    </row>
    <row r="86" spans="5:43" ht="15.5" x14ac:dyDescent="0.35">
      <c r="E86" s="223"/>
      <c r="N86" s="40"/>
      <c r="O86" s="40"/>
      <c r="P86" s="40"/>
      <c r="Q86" s="39" t="str">
        <f t="shared" si="37"/>
        <v/>
      </c>
      <c r="R86" s="38" t="str">
        <f t="shared" si="38"/>
        <v/>
      </c>
      <c r="S86" s="38" t="str">
        <f t="shared" si="39"/>
        <v/>
      </c>
      <c r="T86" s="147">
        <v>259.72000000000003</v>
      </c>
      <c r="U86" s="147">
        <v>560.52</v>
      </c>
      <c r="V86" s="147">
        <v>611.41999999999996</v>
      </c>
      <c r="W86" s="38" t="str">
        <f t="shared" si="40"/>
        <v/>
      </c>
      <c r="X86" s="217" t="str">
        <f>IF(E86="","",IF(R86&gt;0,MIN(Att1SmallCarriers[[#This Row],[2023 Maximum Government Contribution
Self+1]],ROUND(R86*0.75,2)),"New Option"))</f>
        <v/>
      </c>
      <c r="Y86" s="217" t="str">
        <f>IF(E86="","",IF(S86&gt;0,MIN(Att1SmallCarriers[[#This Row],[2023 Maximum Government Contribution
Family]],ROUND(S86*0.75,2)),"New Option"))</f>
        <v/>
      </c>
      <c r="Z86" s="38" t="str">
        <f t="shared" si="28"/>
        <v/>
      </c>
      <c r="AA86" s="38" t="str">
        <f t="shared" si="29"/>
        <v/>
      </c>
      <c r="AB86" s="38" t="str">
        <f t="shared" si="30"/>
        <v/>
      </c>
      <c r="AC86" s="38" t="str">
        <f t="shared" si="31"/>
        <v/>
      </c>
      <c r="AD86" s="38" t="str">
        <f t="shared" si="32"/>
        <v/>
      </c>
      <c r="AE86" s="38" t="str">
        <f t="shared" si="33"/>
        <v/>
      </c>
      <c r="AF86" s="89">
        <f>ROUND(Att1SmallCarriers[[#This Row],[2023 Maximum Government Contribution
Self]]*(1+$B$14),2)</f>
        <v>259.72000000000003</v>
      </c>
      <c r="AG86" s="89">
        <f>ROUND(Att1SmallCarriers[[#This Row],[2023 Maximum Government Contribution
Self+1]]*(1+$B$14),2)</f>
        <v>560.52</v>
      </c>
      <c r="AH86" s="89">
        <f>ROUND(Att1SmallCarriers[[#This Row],[2023 Maximum Government Contribution
Family]]*(1+$B$14),2)</f>
        <v>611.41999999999996</v>
      </c>
      <c r="AI86" s="217" t="str">
        <f>IF(E86="","",MIN(Att1SmallCarriers[[#This Row],[ESTIMATED 2024 Maximum Government Contribution
Self]],ROUND(AC86*0.75,2)))</f>
        <v/>
      </c>
      <c r="AJ86" s="217" t="str">
        <f>IF(E86="","",MIN(Att1SmallCarriers[[#This Row],[ESTIMATED 2024 Maximum Government Contribution
Self+1]],ROUND(AD86*0.75,2)))</f>
        <v/>
      </c>
      <c r="AK86" s="217" t="str">
        <f>IF(E86="","",MIN(Att1SmallCarriers[[#This Row],[ESTIMATED 2024 Maximum Government Contribution
Family]],ROUND(AE86*0.75,2)))</f>
        <v/>
      </c>
      <c r="AL86" s="38" t="str">
        <f t="shared" si="34"/>
        <v/>
      </c>
      <c r="AM86" s="38" t="str">
        <f t="shared" si="35"/>
        <v/>
      </c>
      <c r="AN86" s="38" t="str">
        <f t="shared" si="36"/>
        <v/>
      </c>
      <c r="AO86" s="218" t="str">
        <f t="shared" si="41"/>
        <v/>
      </c>
      <c r="AP86" s="218" t="str">
        <f t="shared" si="42"/>
        <v/>
      </c>
      <c r="AQ86" s="218" t="str">
        <f t="shared" si="43"/>
        <v/>
      </c>
    </row>
    <row r="87" spans="5:43" ht="15.5" x14ac:dyDescent="0.35">
      <c r="E87" s="223"/>
      <c r="N87" s="40"/>
      <c r="O87" s="40"/>
      <c r="P87" s="40"/>
      <c r="Q87" s="39" t="str">
        <f t="shared" si="37"/>
        <v/>
      </c>
      <c r="R87" s="38" t="str">
        <f t="shared" si="38"/>
        <v/>
      </c>
      <c r="S87" s="38" t="str">
        <f t="shared" si="39"/>
        <v/>
      </c>
      <c r="T87" s="147">
        <v>259.72000000000003</v>
      </c>
      <c r="U87" s="147">
        <v>560.52</v>
      </c>
      <c r="V87" s="147">
        <v>611.41999999999996</v>
      </c>
      <c r="W87" s="38" t="str">
        <f t="shared" si="40"/>
        <v/>
      </c>
      <c r="X87" s="217" t="str">
        <f>IF(E87="","",IF(R87&gt;0,MIN(Att1SmallCarriers[[#This Row],[2023 Maximum Government Contribution
Self+1]],ROUND(R87*0.75,2)),"New Option"))</f>
        <v/>
      </c>
      <c r="Y87" s="217" t="str">
        <f>IF(E87="","",IF(S87&gt;0,MIN(Att1SmallCarriers[[#This Row],[2023 Maximum Government Contribution
Family]],ROUND(S87*0.75,2)),"New Option"))</f>
        <v/>
      </c>
      <c r="Z87" s="38" t="str">
        <f t="shared" si="28"/>
        <v/>
      </c>
      <c r="AA87" s="38" t="str">
        <f t="shared" si="29"/>
        <v/>
      </c>
      <c r="AB87" s="38" t="str">
        <f t="shared" si="30"/>
        <v/>
      </c>
      <c r="AC87" s="38" t="str">
        <f t="shared" si="31"/>
        <v/>
      </c>
      <c r="AD87" s="38" t="str">
        <f t="shared" si="32"/>
        <v/>
      </c>
      <c r="AE87" s="38" t="str">
        <f t="shared" si="33"/>
        <v/>
      </c>
      <c r="AF87" s="89">
        <f>ROUND(Att1SmallCarriers[[#This Row],[2023 Maximum Government Contribution
Self]]*(1+$B$14),2)</f>
        <v>259.72000000000003</v>
      </c>
      <c r="AG87" s="89">
        <f>ROUND(Att1SmallCarriers[[#This Row],[2023 Maximum Government Contribution
Self+1]]*(1+$B$14),2)</f>
        <v>560.52</v>
      </c>
      <c r="AH87" s="89">
        <f>ROUND(Att1SmallCarriers[[#This Row],[2023 Maximum Government Contribution
Family]]*(1+$B$14),2)</f>
        <v>611.41999999999996</v>
      </c>
      <c r="AI87" s="217" t="str">
        <f>IF(E87="","",MIN(Att1SmallCarriers[[#This Row],[ESTIMATED 2024 Maximum Government Contribution
Self]],ROUND(AC87*0.75,2)))</f>
        <v/>
      </c>
      <c r="AJ87" s="217" t="str">
        <f>IF(E87="","",MIN(Att1SmallCarriers[[#This Row],[ESTIMATED 2024 Maximum Government Contribution
Self+1]],ROUND(AD87*0.75,2)))</f>
        <v/>
      </c>
      <c r="AK87" s="217" t="str">
        <f>IF(E87="","",MIN(Att1SmallCarriers[[#This Row],[ESTIMATED 2024 Maximum Government Contribution
Family]],ROUND(AE87*0.75,2)))</f>
        <v/>
      </c>
      <c r="AL87" s="38" t="str">
        <f t="shared" si="34"/>
        <v/>
      </c>
      <c r="AM87" s="38" t="str">
        <f t="shared" si="35"/>
        <v/>
      </c>
      <c r="AN87" s="38" t="str">
        <f t="shared" si="36"/>
        <v/>
      </c>
      <c r="AO87" s="218" t="str">
        <f t="shared" si="41"/>
        <v/>
      </c>
      <c r="AP87" s="218" t="str">
        <f t="shared" si="42"/>
        <v/>
      </c>
      <c r="AQ87" s="218" t="str">
        <f t="shared" si="43"/>
        <v/>
      </c>
    </row>
    <row r="88" spans="5:43" ht="15.5" x14ac:dyDescent="0.35">
      <c r="E88" s="223"/>
      <c r="N88" s="40"/>
      <c r="O88" s="40"/>
      <c r="P88" s="40"/>
      <c r="Q88" s="39" t="str">
        <f t="shared" si="37"/>
        <v/>
      </c>
      <c r="R88" s="38" t="str">
        <f t="shared" si="38"/>
        <v/>
      </c>
      <c r="S88" s="38" t="str">
        <f t="shared" si="39"/>
        <v/>
      </c>
      <c r="T88" s="147">
        <v>259.72000000000003</v>
      </c>
      <c r="U88" s="147">
        <v>560.52</v>
      </c>
      <c r="V88" s="147">
        <v>611.41999999999996</v>
      </c>
      <c r="W88" s="38" t="str">
        <f t="shared" si="40"/>
        <v/>
      </c>
      <c r="X88" s="217" t="str">
        <f>IF(E88="","",IF(R88&gt;0,MIN(Att1SmallCarriers[[#This Row],[2023 Maximum Government Contribution
Self+1]],ROUND(R88*0.75,2)),"New Option"))</f>
        <v/>
      </c>
      <c r="Y88" s="217" t="str">
        <f>IF(E88="","",IF(S88&gt;0,MIN(Att1SmallCarriers[[#This Row],[2023 Maximum Government Contribution
Family]],ROUND(S88*0.75,2)),"New Option"))</f>
        <v/>
      </c>
      <c r="Z88" s="38" t="str">
        <f t="shared" si="28"/>
        <v/>
      </c>
      <c r="AA88" s="38" t="str">
        <f t="shared" si="29"/>
        <v/>
      </c>
      <c r="AB88" s="38" t="str">
        <f t="shared" si="30"/>
        <v/>
      </c>
      <c r="AC88" s="38" t="str">
        <f t="shared" si="31"/>
        <v/>
      </c>
      <c r="AD88" s="38" t="str">
        <f t="shared" si="32"/>
        <v/>
      </c>
      <c r="AE88" s="38" t="str">
        <f t="shared" si="33"/>
        <v/>
      </c>
      <c r="AF88" s="89">
        <f>ROUND(Att1SmallCarriers[[#This Row],[2023 Maximum Government Contribution
Self]]*(1+$B$14),2)</f>
        <v>259.72000000000003</v>
      </c>
      <c r="AG88" s="89">
        <f>ROUND(Att1SmallCarriers[[#This Row],[2023 Maximum Government Contribution
Self+1]]*(1+$B$14),2)</f>
        <v>560.52</v>
      </c>
      <c r="AH88" s="89">
        <f>ROUND(Att1SmallCarriers[[#This Row],[2023 Maximum Government Contribution
Family]]*(1+$B$14),2)</f>
        <v>611.41999999999996</v>
      </c>
      <c r="AI88" s="217" t="str">
        <f>IF(E88="","",MIN(Att1SmallCarriers[[#This Row],[ESTIMATED 2024 Maximum Government Contribution
Self]],ROUND(AC88*0.75,2)))</f>
        <v/>
      </c>
      <c r="AJ88" s="217" t="str">
        <f>IF(E88="","",MIN(Att1SmallCarriers[[#This Row],[ESTIMATED 2024 Maximum Government Contribution
Self+1]],ROUND(AD88*0.75,2)))</f>
        <v/>
      </c>
      <c r="AK88" s="217" t="str">
        <f>IF(E88="","",MIN(Att1SmallCarriers[[#This Row],[ESTIMATED 2024 Maximum Government Contribution
Family]],ROUND(AE88*0.75,2)))</f>
        <v/>
      </c>
      <c r="AL88" s="38" t="str">
        <f t="shared" si="34"/>
        <v/>
      </c>
      <c r="AM88" s="38" t="str">
        <f t="shared" si="35"/>
        <v/>
      </c>
      <c r="AN88" s="38" t="str">
        <f t="shared" si="36"/>
        <v/>
      </c>
      <c r="AO88" s="218" t="str">
        <f t="shared" si="41"/>
        <v/>
      </c>
      <c r="AP88" s="218" t="str">
        <f t="shared" si="42"/>
        <v/>
      </c>
      <c r="AQ88" s="218" t="str">
        <f t="shared" si="43"/>
        <v/>
      </c>
    </row>
    <row r="89" spans="5:43" ht="15.5" x14ac:dyDescent="0.35">
      <c r="E89" s="223"/>
      <c r="N89" s="40"/>
      <c r="O89" s="40"/>
      <c r="P89" s="40"/>
      <c r="Q89" s="39" t="str">
        <f t="shared" si="37"/>
        <v/>
      </c>
      <c r="R89" s="38" t="str">
        <f t="shared" si="38"/>
        <v/>
      </c>
      <c r="S89" s="38" t="str">
        <f t="shared" si="39"/>
        <v/>
      </c>
      <c r="T89" s="147">
        <v>259.72000000000003</v>
      </c>
      <c r="U89" s="147">
        <v>560.52</v>
      </c>
      <c r="V89" s="147">
        <v>611.41999999999996</v>
      </c>
      <c r="W89" s="38" t="str">
        <f t="shared" si="40"/>
        <v/>
      </c>
      <c r="X89" s="217" t="str">
        <f>IF(E89="","",IF(R89&gt;0,MIN(Att1SmallCarriers[[#This Row],[2023 Maximum Government Contribution
Self+1]],ROUND(R89*0.75,2)),"New Option"))</f>
        <v/>
      </c>
      <c r="Y89" s="217" t="str">
        <f>IF(E89="","",IF(S89&gt;0,MIN(Att1SmallCarriers[[#This Row],[2023 Maximum Government Contribution
Family]],ROUND(S89*0.75,2)),"New Option"))</f>
        <v/>
      </c>
      <c r="Z89" s="38" t="str">
        <f t="shared" si="28"/>
        <v/>
      </c>
      <c r="AA89" s="38" t="str">
        <f t="shared" si="29"/>
        <v/>
      </c>
      <c r="AB89" s="38" t="str">
        <f t="shared" si="30"/>
        <v/>
      </c>
      <c r="AC89" s="38" t="str">
        <f t="shared" si="31"/>
        <v/>
      </c>
      <c r="AD89" s="38" t="str">
        <f t="shared" si="32"/>
        <v/>
      </c>
      <c r="AE89" s="38" t="str">
        <f t="shared" si="33"/>
        <v/>
      </c>
      <c r="AF89" s="89">
        <f>ROUND(Att1SmallCarriers[[#This Row],[2023 Maximum Government Contribution
Self]]*(1+$B$14),2)</f>
        <v>259.72000000000003</v>
      </c>
      <c r="AG89" s="89">
        <f>ROUND(Att1SmallCarriers[[#This Row],[2023 Maximum Government Contribution
Self+1]]*(1+$B$14),2)</f>
        <v>560.52</v>
      </c>
      <c r="AH89" s="89">
        <f>ROUND(Att1SmallCarriers[[#This Row],[2023 Maximum Government Contribution
Family]]*(1+$B$14),2)</f>
        <v>611.41999999999996</v>
      </c>
      <c r="AI89" s="217" t="str">
        <f>IF(E89="","",MIN(Att1SmallCarriers[[#This Row],[ESTIMATED 2024 Maximum Government Contribution
Self]],ROUND(AC89*0.75,2)))</f>
        <v/>
      </c>
      <c r="AJ89" s="217" t="str">
        <f>IF(E89="","",MIN(Att1SmallCarriers[[#This Row],[ESTIMATED 2024 Maximum Government Contribution
Self+1]],ROUND(AD89*0.75,2)))</f>
        <v/>
      </c>
      <c r="AK89" s="217" t="str">
        <f>IF(E89="","",MIN(Att1SmallCarriers[[#This Row],[ESTIMATED 2024 Maximum Government Contribution
Family]],ROUND(AE89*0.75,2)))</f>
        <v/>
      </c>
      <c r="AL89" s="38" t="str">
        <f t="shared" si="34"/>
        <v/>
      </c>
      <c r="AM89" s="38" t="str">
        <f t="shared" si="35"/>
        <v/>
      </c>
      <c r="AN89" s="38" t="str">
        <f t="shared" si="36"/>
        <v/>
      </c>
      <c r="AO89" s="218" t="str">
        <f t="shared" si="41"/>
        <v/>
      </c>
      <c r="AP89" s="218" t="str">
        <f t="shared" si="42"/>
        <v/>
      </c>
      <c r="AQ89" s="218" t="str">
        <f t="shared" si="43"/>
        <v/>
      </c>
    </row>
    <row r="90" spans="5:43" ht="15.5" x14ac:dyDescent="0.35">
      <c r="E90" s="223"/>
      <c r="N90" s="40"/>
      <c r="O90" s="40"/>
      <c r="P90" s="40"/>
      <c r="Q90" s="39" t="str">
        <f t="shared" si="37"/>
        <v/>
      </c>
      <c r="R90" s="38" t="str">
        <f t="shared" si="38"/>
        <v/>
      </c>
      <c r="S90" s="38" t="str">
        <f t="shared" si="39"/>
        <v/>
      </c>
      <c r="T90" s="147">
        <v>259.72000000000003</v>
      </c>
      <c r="U90" s="147">
        <v>560.52</v>
      </c>
      <c r="V90" s="147">
        <v>611.41999999999996</v>
      </c>
      <c r="W90" s="38" t="str">
        <f t="shared" si="40"/>
        <v/>
      </c>
      <c r="X90" s="217" t="str">
        <f>IF(E90="","",IF(R90&gt;0,MIN(Att1SmallCarriers[[#This Row],[2023 Maximum Government Contribution
Self+1]],ROUND(R90*0.75,2)),"New Option"))</f>
        <v/>
      </c>
      <c r="Y90" s="217" t="str">
        <f>IF(E90="","",IF(S90&gt;0,MIN(Att1SmallCarriers[[#This Row],[2023 Maximum Government Contribution
Family]],ROUND(S90*0.75,2)),"New Option"))</f>
        <v/>
      </c>
      <c r="Z90" s="38" t="str">
        <f t="shared" si="28"/>
        <v/>
      </c>
      <c r="AA90" s="38" t="str">
        <f t="shared" si="29"/>
        <v/>
      </c>
      <c r="AB90" s="38" t="str">
        <f t="shared" si="30"/>
        <v/>
      </c>
      <c r="AC90" s="38" t="str">
        <f t="shared" si="31"/>
        <v/>
      </c>
      <c r="AD90" s="38" t="str">
        <f t="shared" si="32"/>
        <v/>
      </c>
      <c r="AE90" s="38" t="str">
        <f t="shared" si="33"/>
        <v/>
      </c>
      <c r="AF90" s="89">
        <f>ROUND(Att1SmallCarriers[[#This Row],[2023 Maximum Government Contribution
Self]]*(1+$B$14),2)</f>
        <v>259.72000000000003</v>
      </c>
      <c r="AG90" s="89">
        <f>ROUND(Att1SmallCarriers[[#This Row],[2023 Maximum Government Contribution
Self+1]]*(1+$B$14),2)</f>
        <v>560.52</v>
      </c>
      <c r="AH90" s="89">
        <f>ROUND(Att1SmallCarriers[[#This Row],[2023 Maximum Government Contribution
Family]]*(1+$B$14),2)</f>
        <v>611.41999999999996</v>
      </c>
      <c r="AI90" s="217" t="str">
        <f>IF(E90="","",MIN(Att1SmallCarriers[[#This Row],[ESTIMATED 2024 Maximum Government Contribution
Self]],ROUND(AC90*0.75,2)))</f>
        <v/>
      </c>
      <c r="AJ90" s="217" t="str">
        <f>IF(E90="","",MIN(Att1SmallCarriers[[#This Row],[ESTIMATED 2024 Maximum Government Contribution
Self+1]],ROUND(AD90*0.75,2)))</f>
        <v/>
      </c>
      <c r="AK90" s="217" t="str">
        <f>IF(E90="","",MIN(Att1SmallCarriers[[#This Row],[ESTIMATED 2024 Maximum Government Contribution
Family]],ROUND(AE90*0.75,2)))</f>
        <v/>
      </c>
      <c r="AL90" s="38" t="str">
        <f t="shared" si="34"/>
        <v/>
      </c>
      <c r="AM90" s="38" t="str">
        <f t="shared" si="35"/>
        <v/>
      </c>
      <c r="AN90" s="38" t="str">
        <f t="shared" si="36"/>
        <v/>
      </c>
      <c r="AO90" s="218" t="str">
        <f t="shared" si="41"/>
        <v/>
      </c>
      <c r="AP90" s="218" t="str">
        <f t="shared" si="42"/>
        <v/>
      </c>
      <c r="AQ90" s="218" t="str">
        <f t="shared" si="43"/>
        <v/>
      </c>
    </row>
    <row r="91" spans="5:43" ht="15.5" x14ac:dyDescent="0.35">
      <c r="E91" s="223"/>
      <c r="N91" s="40"/>
      <c r="O91" s="40"/>
      <c r="P91" s="40"/>
      <c r="Q91" s="39" t="str">
        <f t="shared" si="37"/>
        <v/>
      </c>
      <c r="R91" s="38" t="str">
        <f t="shared" si="38"/>
        <v/>
      </c>
      <c r="S91" s="38" t="str">
        <f t="shared" si="39"/>
        <v/>
      </c>
      <c r="T91" s="147">
        <v>259.72000000000003</v>
      </c>
      <c r="U91" s="147">
        <v>560.52</v>
      </c>
      <c r="V91" s="147">
        <v>611.41999999999996</v>
      </c>
      <c r="W91" s="38" t="str">
        <f t="shared" si="40"/>
        <v/>
      </c>
      <c r="X91" s="217" t="str">
        <f>IF(E91="","",IF(R91&gt;0,MIN(Att1SmallCarriers[[#This Row],[2023 Maximum Government Contribution
Self+1]],ROUND(R91*0.75,2)),"New Option"))</f>
        <v/>
      </c>
      <c r="Y91" s="217" t="str">
        <f>IF(E91="","",IF(S91&gt;0,MIN(Att1SmallCarriers[[#This Row],[2023 Maximum Government Contribution
Family]],ROUND(S91*0.75,2)),"New Option"))</f>
        <v/>
      </c>
      <c r="Z91" s="38" t="str">
        <f t="shared" si="28"/>
        <v/>
      </c>
      <c r="AA91" s="38" t="str">
        <f t="shared" si="29"/>
        <v/>
      </c>
      <c r="AB91" s="38" t="str">
        <f t="shared" si="30"/>
        <v/>
      </c>
      <c r="AC91" s="38" t="str">
        <f t="shared" si="31"/>
        <v/>
      </c>
      <c r="AD91" s="38" t="str">
        <f t="shared" si="32"/>
        <v/>
      </c>
      <c r="AE91" s="38" t="str">
        <f t="shared" si="33"/>
        <v/>
      </c>
      <c r="AF91" s="89">
        <f>ROUND(Att1SmallCarriers[[#This Row],[2023 Maximum Government Contribution
Self]]*(1+$B$14),2)</f>
        <v>259.72000000000003</v>
      </c>
      <c r="AG91" s="89">
        <f>ROUND(Att1SmallCarriers[[#This Row],[2023 Maximum Government Contribution
Self+1]]*(1+$B$14),2)</f>
        <v>560.52</v>
      </c>
      <c r="AH91" s="89">
        <f>ROUND(Att1SmallCarriers[[#This Row],[2023 Maximum Government Contribution
Family]]*(1+$B$14),2)</f>
        <v>611.41999999999996</v>
      </c>
      <c r="AI91" s="217" t="str">
        <f>IF(E91="","",MIN(Att1SmallCarriers[[#This Row],[ESTIMATED 2024 Maximum Government Contribution
Self]],ROUND(AC91*0.75,2)))</f>
        <v/>
      </c>
      <c r="AJ91" s="217" t="str">
        <f>IF(E91="","",MIN(Att1SmallCarriers[[#This Row],[ESTIMATED 2024 Maximum Government Contribution
Self+1]],ROUND(AD91*0.75,2)))</f>
        <v/>
      </c>
      <c r="AK91" s="217" t="str">
        <f>IF(E91="","",MIN(Att1SmallCarriers[[#This Row],[ESTIMATED 2024 Maximum Government Contribution
Family]],ROUND(AE91*0.75,2)))</f>
        <v/>
      </c>
      <c r="AL91" s="38" t="str">
        <f t="shared" si="34"/>
        <v/>
      </c>
      <c r="AM91" s="38" t="str">
        <f t="shared" si="35"/>
        <v/>
      </c>
      <c r="AN91" s="38" t="str">
        <f t="shared" si="36"/>
        <v/>
      </c>
      <c r="AO91" s="218" t="str">
        <f t="shared" si="41"/>
        <v/>
      </c>
      <c r="AP91" s="218" t="str">
        <f t="shared" si="42"/>
        <v/>
      </c>
      <c r="AQ91" s="218" t="str">
        <f t="shared" si="43"/>
        <v/>
      </c>
    </row>
    <row r="92" spans="5:43" ht="15.5" x14ac:dyDescent="0.35">
      <c r="E92" s="223"/>
      <c r="N92" s="40"/>
      <c r="O92" s="40"/>
      <c r="P92" s="40"/>
      <c r="Q92" s="39" t="str">
        <f t="shared" si="37"/>
        <v/>
      </c>
      <c r="R92" s="38" t="str">
        <f t="shared" si="38"/>
        <v/>
      </c>
      <c r="S92" s="38" t="str">
        <f t="shared" si="39"/>
        <v/>
      </c>
      <c r="T92" s="147">
        <v>259.72000000000003</v>
      </c>
      <c r="U92" s="147">
        <v>560.52</v>
      </c>
      <c r="V92" s="147">
        <v>611.41999999999996</v>
      </c>
      <c r="W92" s="38" t="str">
        <f t="shared" si="40"/>
        <v/>
      </c>
      <c r="X92" s="217" t="str">
        <f>IF(E92="","",IF(R92&gt;0,MIN(Att1SmallCarriers[[#This Row],[2023 Maximum Government Contribution
Self+1]],ROUND(R92*0.75,2)),"New Option"))</f>
        <v/>
      </c>
      <c r="Y92" s="217" t="str">
        <f>IF(E92="","",IF(S92&gt;0,MIN(Att1SmallCarriers[[#This Row],[2023 Maximum Government Contribution
Family]],ROUND(S92*0.75,2)),"New Option"))</f>
        <v/>
      </c>
      <c r="Z92" s="38" t="str">
        <f t="shared" si="28"/>
        <v/>
      </c>
      <c r="AA92" s="38" t="str">
        <f t="shared" si="29"/>
        <v/>
      </c>
      <c r="AB92" s="38" t="str">
        <f t="shared" si="30"/>
        <v/>
      </c>
      <c r="AC92" s="38" t="str">
        <f t="shared" si="31"/>
        <v/>
      </c>
      <c r="AD92" s="38" t="str">
        <f t="shared" si="32"/>
        <v/>
      </c>
      <c r="AE92" s="38" t="str">
        <f t="shared" si="33"/>
        <v/>
      </c>
      <c r="AF92" s="89">
        <f>ROUND(Att1SmallCarriers[[#This Row],[2023 Maximum Government Contribution
Self]]*(1+$B$14),2)</f>
        <v>259.72000000000003</v>
      </c>
      <c r="AG92" s="89">
        <f>ROUND(Att1SmallCarriers[[#This Row],[2023 Maximum Government Contribution
Self+1]]*(1+$B$14),2)</f>
        <v>560.52</v>
      </c>
      <c r="AH92" s="89">
        <f>ROUND(Att1SmallCarriers[[#This Row],[2023 Maximum Government Contribution
Family]]*(1+$B$14),2)</f>
        <v>611.41999999999996</v>
      </c>
      <c r="AI92" s="217" t="str">
        <f>IF(E92="","",MIN(Att1SmallCarriers[[#This Row],[ESTIMATED 2024 Maximum Government Contribution
Self]],ROUND(AC92*0.75,2)))</f>
        <v/>
      </c>
      <c r="AJ92" s="217" t="str">
        <f>IF(E92="","",MIN(Att1SmallCarriers[[#This Row],[ESTIMATED 2024 Maximum Government Contribution
Self+1]],ROUND(AD92*0.75,2)))</f>
        <v/>
      </c>
      <c r="AK92" s="217" t="str">
        <f>IF(E92="","",MIN(Att1SmallCarriers[[#This Row],[ESTIMATED 2024 Maximum Government Contribution
Family]],ROUND(AE92*0.75,2)))</f>
        <v/>
      </c>
      <c r="AL92" s="38" t="str">
        <f t="shared" si="34"/>
        <v/>
      </c>
      <c r="AM92" s="38" t="str">
        <f t="shared" si="35"/>
        <v/>
      </c>
      <c r="AN92" s="38" t="str">
        <f t="shared" si="36"/>
        <v/>
      </c>
      <c r="AO92" s="218" t="str">
        <f t="shared" si="41"/>
        <v/>
      </c>
      <c r="AP92" s="218" t="str">
        <f t="shared" si="42"/>
        <v/>
      </c>
      <c r="AQ92" s="218" t="str">
        <f t="shared" si="43"/>
        <v/>
      </c>
    </row>
    <row r="93" spans="5:43" ht="15.5" x14ac:dyDescent="0.35">
      <c r="E93" s="223"/>
      <c r="N93" s="40"/>
      <c r="O93" s="40"/>
      <c r="P93" s="40"/>
      <c r="Q93" s="39" t="str">
        <f t="shared" si="37"/>
        <v/>
      </c>
      <c r="R93" s="38" t="str">
        <f t="shared" si="38"/>
        <v/>
      </c>
      <c r="S93" s="38" t="str">
        <f t="shared" si="39"/>
        <v/>
      </c>
      <c r="T93" s="147">
        <v>259.72000000000003</v>
      </c>
      <c r="U93" s="147">
        <v>560.52</v>
      </c>
      <c r="V93" s="147">
        <v>611.41999999999996</v>
      </c>
      <c r="W93" s="38" t="str">
        <f t="shared" si="40"/>
        <v/>
      </c>
      <c r="X93" s="217" t="str">
        <f>IF(E93="","",IF(R93&gt;0,MIN(Att1SmallCarriers[[#This Row],[2023 Maximum Government Contribution
Self+1]],ROUND(R93*0.75,2)),"New Option"))</f>
        <v/>
      </c>
      <c r="Y93" s="217" t="str">
        <f>IF(E93="","",IF(S93&gt;0,MIN(Att1SmallCarriers[[#This Row],[2023 Maximum Government Contribution
Family]],ROUND(S93*0.75,2)),"New Option"))</f>
        <v/>
      </c>
      <c r="Z93" s="38" t="str">
        <f t="shared" si="28"/>
        <v/>
      </c>
      <c r="AA93" s="38" t="str">
        <f t="shared" si="29"/>
        <v/>
      </c>
      <c r="AB93" s="38" t="str">
        <f t="shared" si="30"/>
        <v/>
      </c>
      <c r="AC93" s="38" t="str">
        <f t="shared" si="31"/>
        <v/>
      </c>
      <c r="AD93" s="38" t="str">
        <f t="shared" si="32"/>
        <v/>
      </c>
      <c r="AE93" s="38" t="str">
        <f t="shared" si="33"/>
        <v/>
      </c>
      <c r="AF93" s="89">
        <f>ROUND(Att1SmallCarriers[[#This Row],[2023 Maximum Government Contribution
Self]]*(1+$B$14),2)</f>
        <v>259.72000000000003</v>
      </c>
      <c r="AG93" s="89">
        <f>ROUND(Att1SmallCarriers[[#This Row],[2023 Maximum Government Contribution
Self+1]]*(1+$B$14),2)</f>
        <v>560.52</v>
      </c>
      <c r="AH93" s="89">
        <f>ROUND(Att1SmallCarriers[[#This Row],[2023 Maximum Government Contribution
Family]]*(1+$B$14),2)</f>
        <v>611.41999999999996</v>
      </c>
      <c r="AI93" s="217" t="str">
        <f>IF(E93="","",MIN(Att1SmallCarriers[[#This Row],[ESTIMATED 2024 Maximum Government Contribution
Self]],ROUND(AC93*0.75,2)))</f>
        <v/>
      </c>
      <c r="AJ93" s="217" t="str">
        <f>IF(E93="","",MIN(Att1SmallCarriers[[#This Row],[ESTIMATED 2024 Maximum Government Contribution
Self+1]],ROUND(AD93*0.75,2)))</f>
        <v/>
      </c>
      <c r="AK93" s="217" t="str">
        <f>IF(E93="","",MIN(Att1SmallCarriers[[#This Row],[ESTIMATED 2024 Maximum Government Contribution
Family]],ROUND(AE93*0.75,2)))</f>
        <v/>
      </c>
      <c r="AL93" s="38" t="str">
        <f t="shared" si="34"/>
        <v/>
      </c>
      <c r="AM93" s="38" t="str">
        <f t="shared" si="35"/>
        <v/>
      </c>
      <c r="AN93" s="38" t="str">
        <f t="shared" si="36"/>
        <v/>
      </c>
      <c r="AO93" s="218" t="str">
        <f t="shared" si="41"/>
        <v/>
      </c>
      <c r="AP93" s="218" t="str">
        <f t="shared" si="42"/>
        <v/>
      </c>
      <c r="AQ93" s="218" t="str">
        <f t="shared" si="43"/>
        <v/>
      </c>
    </row>
    <row r="94" spans="5:43" ht="15.5" x14ac:dyDescent="0.35">
      <c r="E94" s="223"/>
      <c r="N94" s="40"/>
      <c r="O94" s="40"/>
      <c r="P94" s="40"/>
      <c r="Q94" s="39" t="str">
        <f t="shared" si="37"/>
        <v/>
      </c>
      <c r="R94" s="38" t="str">
        <f t="shared" si="38"/>
        <v/>
      </c>
      <c r="S94" s="38" t="str">
        <f t="shared" si="39"/>
        <v/>
      </c>
      <c r="T94" s="147">
        <v>259.72000000000003</v>
      </c>
      <c r="U94" s="147">
        <v>560.52</v>
      </c>
      <c r="V94" s="147">
        <v>611.41999999999996</v>
      </c>
      <c r="W94" s="38" t="str">
        <f t="shared" si="40"/>
        <v/>
      </c>
      <c r="X94" s="217" t="str">
        <f>IF(E94="","",IF(R94&gt;0,MIN(Att1SmallCarriers[[#This Row],[2023 Maximum Government Contribution
Self+1]],ROUND(R94*0.75,2)),"New Option"))</f>
        <v/>
      </c>
      <c r="Y94" s="217" t="str">
        <f>IF(E94="","",IF(S94&gt;0,MIN(Att1SmallCarriers[[#This Row],[2023 Maximum Government Contribution
Family]],ROUND(S94*0.75,2)),"New Option"))</f>
        <v/>
      </c>
      <c r="Z94" s="38" t="str">
        <f t="shared" si="28"/>
        <v/>
      </c>
      <c r="AA94" s="38" t="str">
        <f t="shared" si="29"/>
        <v/>
      </c>
      <c r="AB94" s="38" t="str">
        <f t="shared" si="30"/>
        <v/>
      </c>
      <c r="AC94" s="38" t="str">
        <f t="shared" si="31"/>
        <v/>
      </c>
      <c r="AD94" s="38" t="str">
        <f t="shared" si="32"/>
        <v/>
      </c>
      <c r="AE94" s="38" t="str">
        <f t="shared" si="33"/>
        <v/>
      </c>
      <c r="AF94" s="89">
        <f>ROUND(Att1SmallCarriers[[#This Row],[2023 Maximum Government Contribution
Self]]*(1+$B$14),2)</f>
        <v>259.72000000000003</v>
      </c>
      <c r="AG94" s="89">
        <f>ROUND(Att1SmallCarriers[[#This Row],[2023 Maximum Government Contribution
Self+1]]*(1+$B$14),2)</f>
        <v>560.52</v>
      </c>
      <c r="AH94" s="89">
        <f>ROUND(Att1SmallCarriers[[#This Row],[2023 Maximum Government Contribution
Family]]*(1+$B$14),2)</f>
        <v>611.41999999999996</v>
      </c>
      <c r="AI94" s="217" t="str">
        <f>IF(E94="","",MIN(Att1SmallCarriers[[#This Row],[ESTIMATED 2024 Maximum Government Contribution
Self]],ROUND(AC94*0.75,2)))</f>
        <v/>
      </c>
      <c r="AJ94" s="217" t="str">
        <f>IF(E94="","",MIN(Att1SmallCarriers[[#This Row],[ESTIMATED 2024 Maximum Government Contribution
Self+1]],ROUND(AD94*0.75,2)))</f>
        <v/>
      </c>
      <c r="AK94" s="217" t="str">
        <f>IF(E94="","",MIN(Att1SmallCarriers[[#This Row],[ESTIMATED 2024 Maximum Government Contribution
Family]],ROUND(AE94*0.75,2)))</f>
        <v/>
      </c>
      <c r="AL94" s="38" t="str">
        <f t="shared" si="34"/>
        <v/>
      </c>
      <c r="AM94" s="38" t="str">
        <f t="shared" si="35"/>
        <v/>
      </c>
      <c r="AN94" s="38" t="str">
        <f t="shared" si="36"/>
        <v/>
      </c>
      <c r="AO94" s="218" t="str">
        <f t="shared" si="41"/>
        <v/>
      </c>
      <c r="AP94" s="218" t="str">
        <f t="shared" si="42"/>
        <v/>
      </c>
      <c r="AQ94" s="218" t="str">
        <f t="shared" si="43"/>
        <v/>
      </c>
    </row>
    <row r="95" spans="5:43" ht="15.5" x14ac:dyDescent="0.35">
      <c r="E95" s="223"/>
      <c r="N95" s="40"/>
      <c r="O95" s="40"/>
      <c r="P95" s="40"/>
      <c r="Q95" s="39" t="str">
        <f t="shared" si="37"/>
        <v/>
      </c>
      <c r="R95" s="38" t="str">
        <f t="shared" si="38"/>
        <v/>
      </c>
      <c r="S95" s="38" t="str">
        <f t="shared" si="39"/>
        <v/>
      </c>
      <c r="T95" s="147">
        <v>259.72000000000003</v>
      </c>
      <c r="U95" s="147">
        <v>560.52</v>
      </c>
      <c r="V95" s="147">
        <v>611.41999999999996</v>
      </c>
      <c r="W95" s="38" t="str">
        <f t="shared" si="40"/>
        <v/>
      </c>
      <c r="X95" s="217" t="str">
        <f>IF(E95="","",IF(R95&gt;0,MIN(Att1SmallCarriers[[#This Row],[2023 Maximum Government Contribution
Self+1]],ROUND(R95*0.75,2)),"New Option"))</f>
        <v/>
      </c>
      <c r="Y95" s="217" t="str">
        <f>IF(E95="","",IF(S95&gt;0,MIN(Att1SmallCarriers[[#This Row],[2023 Maximum Government Contribution
Family]],ROUND(S95*0.75,2)),"New Option"))</f>
        <v/>
      </c>
      <c r="Z95" s="38" t="str">
        <f t="shared" si="28"/>
        <v/>
      </c>
      <c r="AA95" s="38" t="str">
        <f t="shared" si="29"/>
        <v/>
      </c>
      <c r="AB95" s="38" t="str">
        <f t="shared" si="30"/>
        <v/>
      </c>
      <c r="AC95" s="38" t="str">
        <f t="shared" si="31"/>
        <v/>
      </c>
      <c r="AD95" s="38" t="str">
        <f t="shared" si="32"/>
        <v/>
      </c>
      <c r="AE95" s="38" t="str">
        <f t="shared" si="33"/>
        <v/>
      </c>
      <c r="AF95" s="89">
        <f>ROUND(Att1SmallCarriers[[#This Row],[2023 Maximum Government Contribution
Self]]*(1+$B$14),2)</f>
        <v>259.72000000000003</v>
      </c>
      <c r="AG95" s="89">
        <f>ROUND(Att1SmallCarriers[[#This Row],[2023 Maximum Government Contribution
Self+1]]*(1+$B$14),2)</f>
        <v>560.52</v>
      </c>
      <c r="AH95" s="89">
        <f>ROUND(Att1SmallCarriers[[#This Row],[2023 Maximum Government Contribution
Family]]*(1+$B$14),2)</f>
        <v>611.41999999999996</v>
      </c>
      <c r="AI95" s="217" t="str">
        <f>IF(E95="","",MIN(Att1SmallCarriers[[#This Row],[ESTIMATED 2024 Maximum Government Contribution
Self]],ROUND(AC95*0.75,2)))</f>
        <v/>
      </c>
      <c r="AJ95" s="217" t="str">
        <f>IF(E95="","",MIN(Att1SmallCarriers[[#This Row],[ESTIMATED 2024 Maximum Government Contribution
Self+1]],ROUND(AD95*0.75,2)))</f>
        <v/>
      </c>
      <c r="AK95" s="217" t="str">
        <f>IF(E95="","",MIN(Att1SmallCarriers[[#This Row],[ESTIMATED 2024 Maximum Government Contribution
Family]],ROUND(AE95*0.75,2)))</f>
        <v/>
      </c>
      <c r="AL95" s="38" t="str">
        <f t="shared" si="34"/>
        <v/>
      </c>
      <c r="AM95" s="38" t="str">
        <f t="shared" si="35"/>
        <v/>
      </c>
      <c r="AN95" s="38" t="str">
        <f t="shared" si="36"/>
        <v/>
      </c>
      <c r="AO95" s="218" t="str">
        <f t="shared" si="41"/>
        <v/>
      </c>
      <c r="AP95" s="218" t="str">
        <f t="shared" si="42"/>
        <v/>
      </c>
      <c r="AQ95" s="218" t="str">
        <f t="shared" si="43"/>
        <v/>
      </c>
    </row>
    <row r="96" spans="5:43" ht="15.5" x14ac:dyDescent="0.35">
      <c r="E96" s="223"/>
      <c r="N96" s="40"/>
      <c r="O96" s="40"/>
      <c r="P96" s="40"/>
      <c r="Q96" s="39" t="str">
        <f t="shared" si="37"/>
        <v/>
      </c>
      <c r="R96" s="38" t="str">
        <f t="shared" si="38"/>
        <v/>
      </c>
      <c r="S96" s="38" t="str">
        <f t="shared" si="39"/>
        <v/>
      </c>
      <c r="T96" s="147">
        <v>259.72000000000003</v>
      </c>
      <c r="U96" s="147">
        <v>560.52</v>
      </c>
      <c r="V96" s="147">
        <v>611.41999999999996</v>
      </c>
      <c r="W96" s="38" t="str">
        <f t="shared" si="40"/>
        <v/>
      </c>
      <c r="X96" s="217" t="str">
        <f>IF(E96="","",IF(R96&gt;0,MIN(Att1SmallCarriers[[#This Row],[2023 Maximum Government Contribution
Self+1]],ROUND(R96*0.75,2)),"New Option"))</f>
        <v/>
      </c>
      <c r="Y96" s="217" t="str">
        <f>IF(E96="","",IF(S96&gt;0,MIN(Att1SmallCarriers[[#This Row],[2023 Maximum Government Contribution
Family]],ROUND(S96*0.75,2)),"New Option"))</f>
        <v/>
      </c>
      <c r="Z96" s="38" t="str">
        <f t="shared" si="28"/>
        <v/>
      </c>
      <c r="AA96" s="38" t="str">
        <f t="shared" si="29"/>
        <v/>
      </c>
      <c r="AB96" s="38" t="str">
        <f t="shared" si="30"/>
        <v/>
      </c>
      <c r="AC96" s="38" t="str">
        <f t="shared" si="31"/>
        <v/>
      </c>
      <c r="AD96" s="38" t="str">
        <f t="shared" si="32"/>
        <v/>
      </c>
      <c r="AE96" s="38" t="str">
        <f t="shared" si="33"/>
        <v/>
      </c>
      <c r="AF96" s="89">
        <f>ROUND(Att1SmallCarriers[[#This Row],[2023 Maximum Government Contribution
Self]]*(1+$B$14),2)</f>
        <v>259.72000000000003</v>
      </c>
      <c r="AG96" s="89">
        <f>ROUND(Att1SmallCarriers[[#This Row],[2023 Maximum Government Contribution
Self+1]]*(1+$B$14),2)</f>
        <v>560.52</v>
      </c>
      <c r="AH96" s="89">
        <f>ROUND(Att1SmallCarriers[[#This Row],[2023 Maximum Government Contribution
Family]]*(1+$B$14),2)</f>
        <v>611.41999999999996</v>
      </c>
      <c r="AI96" s="217" t="str">
        <f>IF(E96="","",MIN(Att1SmallCarriers[[#This Row],[ESTIMATED 2024 Maximum Government Contribution
Self]],ROUND(AC96*0.75,2)))</f>
        <v/>
      </c>
      <c r="AJ96" s="217" t="str">
        <f>IF(E96="","",MIN(Att1SmallCarriers[[#This Row],[ESTIMATED 2024 Maximum Government Contribution
Self+1]],ROUND(AD96*0.75,2)))</f>
        <v/>
      </c>
      <c r="AK96" s="217" t="str">
        <f>IF(E96="","",MIN(Att1SmallCarriers[[#This Row],[ESTIMATED 2024 Maximum Government Contribution
Family]],ROUND(AE96*0.75,2)))</f>
        <v/>
      </c>
      <c r="AL96" s="38" t="str">
        <f t="shared" si="34"/>
        <v/>
      </c>
      <c r="AM96" s="38" t="str">
        <f t="shared" si="35"/>
        <v/>
      </c>
      <c r="AN96" s="38" t="str">
        <f t="shared" si="36"/>
        <v/>
      </c>
      <c r="AO96" s="218" t="str">
        <f t="shared" si="41"/>
        <v/>
      </c>
      <c r="AP96" s="218" t="str">
        <f t="shared" si="42"/>
        <v/>
      </c>
      <c r="AQ96" s="218" t="str">
        <f t="shared" si="43"/>
        <v/>
      </c>
    </row>
    <row r="97" spans="5:43" ht="15.5" x14ac:dyDescent="0.35">
      <c r="E97" s="223"/>
      <c r="N97" s="40"/>
      <c r="O97" s="40"/>
      <c r="P97" s="40"/>
      <c r="Q97" s="39" t="str">
        <f t="shared" si="37"/>
        <v/>
      </c>
      <c r="R97" s="38" t="str">
        <f t="shared" si="38"/>
        <v/>
      </c>
      <c r="S97" s="38" t="str">
        <f t="shared" si="39"/>
        <v/>
      </c>
      <c r="T97" s="147">
        <v>259.72000000000003</v>
      </c>
      <c r="U97" s="147">
        <v>560.52</v>
      </c>
      <c r="V97" s="147">
        <v>611.41999999999996</v>
      </c>
      <c r="W97" s="38" t="str">
        <f t="shared" si="40"/>
        <v/>
      </c>
      <c r="X97" s="217" t="str">
        <f>IF(E97="","",IF(R97&gt;0,MIN(Att1SmallCarriers[[#This Row],[2023 Maximum Government Contribution
Self+1]],ROUND(R97*0.75,2)),"New Option"))</f>
        <v/>
      </c>
      <c r="Y97" s="217" t="str">
        <f>IF(E97="","",IF(S97&gt;0,MIN(Att1SmallCarriers[[#This Row],[2023 Maximum Government Contribution
Family]],ROUND(S97*0.75,2)),"New Option"))</f>
        <v/>
      </c>
      <c r="Z97" s="38" t="str">
        <f t="shared" si="28"/>
        <v/>
      </c>
      <c r="AA97" s="38" t="str">
        <f t="shared" si="29"/>
        <v/>
      </c>
      <c r="AB97" s="38" t="str">
        <f t="shared" si="30"/>
        <v/>
      </c>
      <c r="AC97" s="38" t="str">
        <f t="shared" si="31"/>
        <v/>
      </c>
      <c r="AD97" s="38" t="str">
        <f t="shared" si="32"/>
        <v/>
      </c>
      <c r="AE97" s="38" t="str">
        <f t="shared" si="33"/>
        <v/>
      </c>
      <c r="AF97" s="89">
        <f>ROUND(Att1SmallCarriers[[#This Row],[2023 Maximum Government Contribution
Self]]*(1+$B$14),2)</f>
        <v>259.72000000000003</v>
      </c>
      <c r="AG97" s="89">
        <f>ROUND(Att1SmallCarriers[[#This Row],[2023 Maximum Government Contribution
Self+1]]*(1+$B$14),2)</f>
        <v>560.52</v>
      </c>
      <c r="AH97" s="89">
        <f>ROUND(Att1SmallCarriers[[#This Row],[2023 Maximum Government Contribution
Family]]*(1+$B$14),2)</f>
        <v>611.41999999999996</v>
      </c>
      <c r="AI97" s="217" t="str">
        <f>IF(E97="","",MIN(Att1SmallCarriers[[#This Row],[ESTIMATED 2024 Maximum Government Contribution
Self]],ROUND(AC97*0.75,2)))</f>
        <v/>
      </c>
      <c r="AJ97" s="217" t="str">
        <f>IF(E97="","",MIN(Att1SmallCarriers[[#This Row],[ESTIMATED 2024 Maximum Government Contribution
Self+1]],ROUND(AD97*0.75,2)))</f>
        <v/>
      </c>
      <c r="AK97" s="217" t="str">
        <f>IF(E97="","",MIN(Att1SmallCarriers[[#This Row],[ESTIMATED 2024 Maximum Government Contribution
Family]],ROUND(AE97*0.75,2)))</f>
        <v/>
      </c>
      <c r="AL97" s="38" t="str">
        <f t="shared" si="34"/>
        <v/>
      </c>
      <c r="AM97" s="38" t="str">
        <f t="shared" si="35"/>
        <v/>
      </c>
      <c r="AN97" s="38" t="str">
        <f t="shared" si="36"/>
        <v/>
      </c>
      <c r="AO97" s="218" t="str">
        <f t="shared" si="41"/>
        <v/>
      </c>
      <c r="AP97" s="218" t="str">
        <f t="shared" si="42"/>
        <v/>
      </c>
      <c r="AQ97" s="218" t="str">
        <f t="shared" si="43"/>
        <v/>
      </c>
    </row>
    <row r="98" spans="5:43" ht="15.5" x14ac:dyDescent="0.35">
      <c r="E98" s="223"/>
      <c r="N98" s="40"/>
      <c r="O98" s="40"/>
      <c r="P98" s="40"/>
      <c r="Q98" s="39" t="str">
        <f t="shared" si="37"/>
        <v/>
      </c>
      <c r="R98" s="38" t="str">
        <f t="shared" si="38"/>
        <v/>
      </c>
      <c r="S98" s="38" t="str">
        <f t="shared" si="39"/>
        <v/>
      </c>
      <c r="T98" s="147">
        <v>259.72000000000003</v>
      </c>
      <c r="U98" s="147">
        <v>560.52</v>
      </c>
      <c r="V98" s="147">
        <v>611.41999999999996</v>
      </c>
      <c r="W98" s="38" t="str">
        <f t="shared" si="40"/>
        <v/>
      </c>
      <c r="X98" s="217" t="str">
        <f>IF(E98="","",IF(R98&gt;0,MIN(Att1SmallCarriers[[#This Row],[2023 Maximum Government Contribution
Self+1]],ROUND(R98*0.75,2)),"New Option"))</f>
        <v/>
      </c>
      <c r="Y98" s="217" t="str">
        <f>IF(E98="","",IF(S98&gt;0,MIN(Att1SmallCarriers[[#This Row],[2023 Maximum Government Contribution
Family]],ROUND(S98*0.75,2)),"New Option"))</f>
        <v/>
      </c>
      <c r="Z98" s="38" t="str">
        <f t="shared" si="28"/>
        <v/>
      </c>
      <c r="AA98" s="38" t="str">
        <f t="shared" si="29"/>
        <v/>
      </c>
      <c r="AB98" s="38" t="str">
        <f t="shared" si="30"/>
        <v/>
      </c>
      <c r="AC98" s="38" t="str">
        <f t="shared" si="31"/>
        <v/>
      </c>
      <c r="AD98" s="38" t="str">
        <f t="shared" si="32"/>
        <v/>
      </c>
      <c r="AE98" s="38" t="str">
        <f t="shared" si="33"/>
        <v/>
      </c>
      <c r="AF98" s="89">
        <f>ROUND(Att1SmallCarriers[[#This Row],[2023 Maximum Government Contribution
Self]]*(1+$B$14),2)</f>
        <v>259.72000000000003</v>
      </c>
      <c r="AG98" s="89">
        <f>ROUND(Att1SmallCarriers[[#This Row],[2023 Maximum Government Contribution
Self+1]]*(1+$B$14),2)</f>
        <v>560.52</v>
      </c>
      <c r="AH98" s="89">
        <f>ROUND(Att1SmallCarriers[[#This Row],[2023 Maximum Government Contribution
Family]]*(1+$B$14),2)</f>
        <v>611.41999999999996</v>
      </c>
      <c r="AI98" s="217" t="str">
        <f>IF(E98="","",MIN(Att1SmallCarriers[[#This Row],[ESTIMATED 2024 Maximum Government Contribution
Self]],ROUND(AC98*0.75,2)))</f>
        <v/>
      </c>
      <c r="AJ98" s="217" t="str">
        <f>IF(E98="","",MIN(Att1SmallCarriers[[#This Row],[ESTIMATED 2024 Maximum Government Contribution
Self+1]],ROUND(AD98*0.75,2)))</f>
        <v/>
      </c>
      <c r="AK98" s="217" t="str">
        <f>IF(E98="","",MIN(Att1SmallCarriers[[#This Row],[ESTIMATED 2024 Maximum Government Contribution
Family]],ROUND(AE98*0.75,2)))</f>
        <v/>
      </c>
      <c r="AL98" s="38" t="str">
        <f t="shared" si="34"/>
        <v/>
      </c>
      <c r="AM98" s="38" t="str">
        <f t="shared" si="35"/>
        <v/>
      </c>
      <c r="AN98" s="38" t="str">
        <f t="shared" si="36"/>
        <v/>
      </c>
      <c r="AO98" s="218" t="str">
        <f t="shared" si="41"/>
        <v/>
      </c>
      <c r="AP98" s="218" t="str">
        <f t="shared" si="42"/>
        <v/>
      </c>
      <c r="AQ98" s="218" t="str">
        <f t="shared" si="43"/>
        <v/>
      </c>
    </row>
    <row r="99" spans="5:43" ht="15.5" x14ac:dyDescent="0.35">
      <c r="E99" s="223"/>
      <c r="N99" s="40"/>
      <c r="O99" s="40"/>
      <c r="P99" s="40"/>
      <c r="Q99" s="39" t="str">
        <f t="shared" si="37"/>
        <v/>
      </c>
      <c r="R99" s="38" t="str">
        <f t="shared" si="38"/>
        <v/>
      </c>
      <c r="S99" s="38" t="str">
        <f t="shared" si="39"/>
        <v/>
      </c>
      <c r="T99" s="147">
        <v>259.72000000000003</v>
      </c>
      <c r="U99" s="147">
        <v>560.52</v>
      </c>
      <c r="V99" s="147">
        <v>611.41999999999996</v>
      </c>
      <c r="W99" s="38" t="str">
        <f t="shared" si="40"/>
        <v/>
      </c>
      <c r="X99" s="217" t="str">
        <f>IF(E99="","",IF(R99&gt;0,MIN(Att1SmallCarriers[[#This Row],[2023 Maximum Government Contribution
Self+1]],ROUND(R99*0.75,2)),"New Option"))</f>
        <v/>
      </c>
      <c r="Y99" s="217" t="str">
        <f>IF(E99="","",IF(S99&gt;0,MIN(Att1SmallCarriers[[#This Row],[2023 Maximum Government Contribution
Family]],ROUND(S99*0.75,2)),"New Option"))</f>
        <v/>
      </c>
      <c r="Z99" s="38" t="str">
        <f t="shared" si="28"/>
        <v/>
      </c>
      <c r="AA99" s="38" t="str">
        <f t="shared" si="29"/>
        <v/>
      </c>
      <c r="AB99" s="38" t="str">
        <f t="shared" si="30"/>
        <v/>
      </c>
      <c r="AC99" s="38" t="str">
        <f t="shared" si="31"/>
        <v/>
      </c>
      <c r="AD99" s="38" t="str">
        <f t="shared" si="32"/>
        <v/>
      </c>
      <c r="AE99" s="38" t="str">
        <f t="shared" si="33"/>
        <v/>
      </c>
      <c r="AF99" s="89">
        <f>ROUND(Att1SmallCarriers[[#This Row],[2023 Maximum Government Contribution
Self]]*(1+$B$14),2)</f>
        <v>259.72000000000003</v>
      </c>
      <c r="AG99" s="89">
        <f>ROUND(Att1SmallCarriers[[#This Row],[2023 Maximum Government Contribution
Self+1]]*(1+$B$14),2)</f>
        <v>560.52</v>
      </c>
      <c r="AH99" s="89">
        <f>ROUND(Att1SmallCarriers[[#This Row],[2023 Maximum Government Contribution
Family]]*(1+$B$14),2)</f>
        <v>611.41999999999996</v>
      </c>
      <c r="AI99" s="217" t="str">
        <f>IF(E99="","",MIN(Att1SmallCarriers[[#This Row],[ESTIMATED 2024 Maximum Government Contribution
Self]],ROUND(AC99*0.75,2)))</f>
        <v/>
      </c>
      <c r="AJ99" s="217" t="str">
        <f>IF(E99="","",MIN(Att1SmallCarriers[[#This Row],[ESTIMATED 2024 Maximum Government Contribution
Self+1]],ROUND(AD99*0.75,2)))</f>
        <v/>
      </c>
      <c r="AK99" s="217" t="str">
        <f>IF(E99="","",MIN(Att1SmallCarriers[[#This Row],[ESTIMATED 2024 Maximum Government Contribution
Family]],ROUND(AE99*0.75,2)))</f>
        <v/>
      </c>
      <c r="AL99" s="38" t="str">
        <f t="shared" si="34"/>
        <v/>
      </c>
      <c r="AM99" s="38" t="str">
        <f t="shared" si="35"/>
        <v/>
      </c>
      <c r="AN99" s="38" t="str">
        <f t="shared" si="36"/>
        <v/>
      </c>
      <c r="AO99" s="218" t="str">
        <f t="shared" si="41"/>
        <v/>
      </c>
      <c r="AP99" s="218" t="str">
        <f t="shared" si="42"/>
        <v/>
      </c>
      <c r="AQ99" s="218" t="str">
        <f t="shared" si="43"/>
        <v/>
      </c>
    </row>
    <row r="100" spans="5:43" ht="15.5" x14ac:dyDescent="0.35">
      <c r="E100" s="223"/>
      <c r="N100" s="40"/>
      <c r="O100" s="40"/>
      <c r="P100" s="40"/>
      <c r="Q100" s="39" t="str">
        <f t="shared" si="37"/>
        <v/>
      </c>
      <c r="R100" s="38" t="str">
        <f t="shared" si="38"/>
        <v/>
      </c>
      <c r="S100" s="38" t="str">
        <f t="shared" si="39"/>
        <v/>
      </c>
      <c r="T100" s="147">
        <v>259.72000000000003</v>
      </c>
      <c r="U100" s="147">
        <v>560.52</v>
      </c>
      <c r="V100" s="147">
        <v>611.41999999999996</v>
      </c>
      <c r="W100" s="38" t="str">
        <f t="shared" si="40"/>
        <v/>
      </c>
      <c r="X100" s="217" t="str">
        <f>IF(E100="","",IF(R100&gt;0,MIN(Att1SmallCarriers[[#This Row],[2023 Maximum Government Contribution
Self+1]],ROUND(R100*0.75,2)),"New Option"))</f>
        <v/>
      </c>
      <c r="Y100" s="217" t="str">
        <f>IF(E100="","",IF(S100&gt;0,MIN(Att1SmallCarriers[[#This Row],[2023 Maximum Government Contribution
Family]],ROUND(S100*0.75,2)),"New Option"))</f>
        <v/>
      </c>
      <c r="Z100" s="38" t="str">
        <f t="shared" si="28"/>
        <v/>
      </c>
      <c r="AA100" s="38" t="str">
        <f t="shared" si="29"/>
        <v/>
      </c>
      <c r="AB100" s="38" t="str">
        <f t="shared" si="30"/>
        <v/>
      </c>
      <c r="AC100" s="38" t="str">
        <f t="shared" si="31"/>
        <v/>
      </c>
      <c r="AD100" s="38" t="str">
        <f t="shared" si="32"/>
        <v/>
      </c>
      <c r="AE100" s="38" t="str">
        <f t="shared" si="33"/>
        <v/>
      </c>
      <c r="AF100" s="89">
        <f>ROUND(Att1SmallCarriers[[#This Row],[2023 Maximum Government Contribution
Self]]*(1+$B$14),2)</f>
        <v>259.72000000000003</v>
      </c>
      <c r="AG100" s="89">
        <f>ROUND(Att1SmallCarriers[[#This Row],[2023 Maximum Government Contribution
Self+1]]*(1+$B$14),2)</f>
        <v>560.52</v>
      </c>
      <c r="AH100" s="89">
        <f>ROUND(Att1SmallCarriers[[#This Row],[2023 Maximum Government Contribution
Family]]*(1+$B$14),2)</f>
        <v>611.41999999999996</v>
      </c>
      <c r="AI100" s="217" t="str">
        <f>IF(E100="","",MIN(Att1SmallCarriers[[#This Row],[ESTIMATED 2024 Maximum Government Contribution
Self]],ROUND(AC100*0.75,2)))</f>
        <v/>
      </c>
      <c r="AJ100" s="217" t="str">
        <f>IF(E100="","",MIN(Att1SmallCarriers[[#This Row],[ESTIMATED 2024 Maximum Government Contribution
Self+1]],ROUND(AD100*0.75,2)))</f>
        <v/>
      </c>
      <c r="AK100" s="217" t="str">
        <f>IF(E100="","",MIN(Att1SmallCarriers[[#This Row],[ESTIMATED 2024 Maximum Government Contribution
Family]],ROUND(AE100*0.75,2)))</f>
        <v/>
      </c>
      <c r="AL100" s="38" t="str">
        <f t="shared" si="34"/>
        <v/>
      </c>
      <c r="AM100" s="38" t="str">
        <f t="shared" si="35"/>
        <v/>
      </c>
      <c r="AN100" s="38" t="str">
        <f t="shared" si="36"/>
        <v/>
      </c>
      <c r="AO100" s="218" t="str">
        <f t="shared" si="41"/>
        <v/>
      </c>
      <c r="AP100" s="218" t="str">
        <f t="shared" si="42"/>
        <v/>
      </c>
      <c r="AQ100" s="218" t="str">
        <f t="shared" si="43"/>
        <v/>
      </c>
    </row>
    <row r="101" spans="5:43" ht="15.5" x14ac:dyDescent="0.35">
      <c r="E101" s="223"/>
      <c r="N101" s="40"/>
      <c r="O101" s="40"/>
      <c r="P101" s="40"/>
      <c r="Q101" s="39" t="str">
        <f t="shared" si="37"/>
        <v/>
      </c>
      <c r="R101" s="38" t="str">
        <f t="shared" si="38"/>
        <v/>
      </c>
      <c r="S101" s="38" t="str">
        <f t="shared" si="39"/>
        <v/>
      </c>
      <c r="T101" s="147">
        <v>259.72000000000003</v>
      </c>
      <c r="U101" s="147">
        <v>560.52</v>
      </c>
      <c r="V101" s="147">
        <v>611.41999999999996</v>
      </c>
      <c r="W101" s="38" t="str">
        <f t="shared" si="40"/>
        <v/>
      </c>
      <c r="X101" s="217" t="str">
        <f>IF(E101="","",IF(R101&gt;0,MIN(Att1SmallCarriers[[#This Row],[2023 Maximum Government Contribution
Self+1]],ROUND(R101*0.75,2)),"New Option"))</f>
        <v/>
      </c>
      <c r="Y101" s="217" t="str">
        <f>IF(E101="","",IF(S101&gt;0,MIN(Att1SmallCarriers[[#This Row],[2023 Maximum Government Contribution
Family]],ROUND(S101*0.75,2)),"New Option"))</f>
        <v/>
      </c>
      <c r="Z101" s="38" t="str">
        <f t="shared" si="28"/>
        <v/>
      </c>
      <c r="AA101" s="38" t="str">
        <f t="shared" si="29"/>
        <v/>
      </c>
      <c r="AB101" s="38" t="str">
        <f t="shared" si="30"/>
        <v/>
      </c>
      <c r="AC101" s="38" t="str">
        <f t="shared" si="31"/>
        <v/>
      </c>
      <c r="AD101" s="38" t="str">
        <f t="shared" si="32"/>
        <v/>
      </c>
      <c r="AE101" s="38" t="str">
        <f t="shared" si="33"/>
        <v/>
      </c>
      <c r="AF101" s="89">
        <f>ROUND(Att1SmallCarriers[[#This Row],[2023 Maximum Government Contribution
Self]]*(1+$B$14),2)</f>
        <v>259.72000000000003</v>
      </c>
      <c r="AG101" s="89">
        <f>ROUND(Att1SmallCarriers[[#This Row],[2023 Maximum Government Contribution
Self+1]]*(1+$B$14),2)</f>
        <v>560.52</v>
      </c>
      <c r="AH101" s="89">
        <f>ROUND(Att1SmallCarriers[[#This Row],[2023 Maximum Government Contribution
Family]]*(1+$B$14),2)</f>
        <v>611.41999999999996</v>
      </c>
      <c r="AI101" s="217" t="str">
        <f>IF(E101="","",MIN(Att1SmallCarriers[[#This Row],[ESTIMATED 2024 Maximum Government Contribution
Self]],ROUND(AC101*0.75,2)))</f>
        <v/>
      </c>
      <c r="AJ101" s="217" t="str">
        <f>IF(E101="","",MIN(Att1SmallCarriers[[#This Row],[ESTIMATED 2024 Maximum Government Contribution
Self+1]],ROUND(AD101*0.75,2)))</f>
        <v/>
      </c>
      <c r="AK101" s="217" t="str">
        <f>IF(E101="","",MIN(Att1SmallCarriers[[#This Row],[ESTIMATED 2024 Maximum Government Contribution
Family]],ROUND(AE101*0.75,2)))</f>
        <v/>
      </c>
      <c r="AL101" s="38" t="str">
        <f t="shared" si="34"/>
        <v/>
      </c>
      <c r="AM101" s="38" t="str">
        <f t="shared" si="35"/>
        <v/>
      </c>
      <c r="AN101" s="38" t="str">
        <f t="shared" si="36"/>
        <v/>
      </c>
      <c r="AO101" s="218" t="str">
        <f t="shared" si="41"/>
        <v/>
      </c>
      <c r="AP101" s="218" t="str">
        <f t="shared" si="42"/>
        <v/>
      </c>
      <c r="AQ101" s="218" t="str">
        <f t="shared" si="43"/>
        <v/>
      </c>
    </row>
    <row r="102" spans="5:43" ht="15.5" x14ac:dyDescent="0.35">
      <c r="E102" s="223"/>
      <c r="N102" s="40"/>
      <c r="O102" s="40"/>
      <c r="P102" s="40"/>
      <c r="Q102" s="39" t="str">
        <f t="shared" si="37"/>
        <v/>
      </c>
      <c r="R102" s="38" t="str">
        <f t="shared" si="38"/>
        <v/>
      </c>
      <c r="S102" s="38" t="str">
        <f t="shared" si="39"/>
        <v/>
      </c>
      <c r="T102" s="147">
        <v>259.72000000000003</v>
      </c>
      <c r="U102" s="147">
        <v>560.52</v>
      </c>
      <c r="V102" s="147">
        <v>611.41999999999996</v>
      </c>
      <c r="W102" s="38" t="str">
        <f t="shared" si="40"/>
        <v/>
      </c>
      <c r="X102" s="217" t="str">
        <f>IF(E102="","",IF(R102&gt;0,MIN(Att1SmallCarriers[[#This Row],[2023 Maximum Government Contribution
Self+1]],ROUND(R102*0.75,2)),"New Option"))</f>
        <v/>
      </c>
      <c r="Y102" s="217" t="str">
        <f>IF(E102="","",IF(S102&gt;0,MIN(Att1SmallCarriers[[#This Row],[2023 Maximum Government Contribution
Family]],ROUND(S102*0.75,2)),"New Option"))</f>
        <v/>
      </c>
      <c r="Z102" s="38" t="str">
        <f t="shared" si="28"/>
        <v/>
      </c>
      <c r="AA102" s="38" t="str">
        <f t="shared" si="29"/>
        <v/>
      </c>
      <c r="AB102" s="38" t="str">
        <f t="shared" si="30"/>
        <v/>
      </c>
      <c r="AC102" s="38" t="str">
        <f t="shared" si="31"/>
        <v/>
      </c>
      <c r="AD102" s="38" t="str">
        <f t="shared" si="32"/>
        <v/>
      </c>
      <c r="AE102" s="38" t="str">
        <f t="shared" si="33"/>
        <v/>
      </c>
      <c r="AF102" s="89">
        <f>ROUND(Att1SmallCarriers[[#This Row],[2023 Maximum Government Contribution
Self]]*(1+$B$14),2)</f>
        <v>259.72000000000003</v>
      </c>
      <c r="AG102" s="89">
        <f>ROUND(Att1SmallCarriers[[#This Row],[2023 Maximum Government Contribution
Self+1]]*(1+$B$14),2)</f>
        <v>560.52</v>
      </c>
      <c r="AH102" s="89">
        <f>ROUND(Att1SmallCarriers[[#This Row],[2023 Maximum Government Contribution
Family]]*(1+$B$14),2)</f>
        <v>611.41999999999996</v>
      </c>
      <c r="AI102" s="217" t="str">
        <f>IF(E102="","",MIN(Att1SmallCarriers[[#This Row],[ESTIMATED 2024 Maximum Government Contribution
Self]],ROUND(AC102*0.75,2)))</f>
        <v/>
      </c>
      <c r="AJ102" s="217" t="str">
        <f>IF(E102="","",MIN(Att1SmallCarriers[[#This Row],[ESTIMATED 2024 Maximum Government Contribution
Self+1]],ROUND(AD102*0.75,2)))</f>
        <v/>
      </c>
      <c r="AK102" s="217" t="str">
        <f>IF(E102="","",MIN(Att1SmallCarriers[[#This Row],[ESTIMATED 2024 Maximum Government Contribution
Family]],ROUND(AE102*0.75,2)))</f>
        <v/>
      </c>
      <c r="AL102" s="38" t="str">
        <f t="shared" si="34"/>
        <v/>
      </c>
      <c r="AM102" s="38" t="str">
        <f t="shared" si="35"/>
        <v/>
      </c>
      <c r="AN102" s="38" t="str">
        <f t="shared" si="36"/>
        <v/>
      </c>
      <c r="AO102" s="218" t="str">
        <f t="shared" si="41"/>
        <v/>
      </c>
      <c r="AP102" s="218" t="str">
        <f t="shared" si="42"/>
        <v/>
      </c>
      <c r="AQ102" s="218" t="str">
        <f t="shared" si="43"/>
        <v/>
      </c>
    </row>
    <row r="103" spans="5:43" ht="15.5" x14ac:dyDescent="0.35">
      <c r="E103" s="223"/>
      <c r="N103" s="40"/>
      <c r="O103" s="40"/>
      <c r="P103" s="40"/>
      <c r="Q103" s="39" t="str">
        <f t="shared" si="37"/>
        <v/>
      </c>
      <c r="R103" s="38" t="str">
        <f t="shared" si="38"/>
        <v/>
      </c>
      <c r="S103" s="38" t="str">
        <f t="shared" si="39"/>
        <v/>
      </c>
      <c r="T103" s="147">
        <v>259.72000000000003</v>
      </c>
      <c r="U103" s="147">
        <v>560.52</v>
      </c>
      <c r="V103" s="147">
        <v>611.41999999999996</v>
      </c>
      <c r="W103" s="38" t="str">
        <f t="shared" si="40"/>
        <v/>
      </c>
      <c r="X103" s="217" t="str">
        <f>IF(E103="","",IF(R103&gt;0,MIN(Att1SmallCarriers[[#This Row],[2023 Maximum Government Contribution
Self+1]],ROUND(R103*0.75,2)),"New Option"))</f>
        <v/>
      </c>
      <c r="Y103" s="217" t="str">
        <f>IF(E103="","",IF(S103&gt;0,MIN(Att1SmallCarriers[[#This Row],[2023 Maximum Government Contribution
Family]],ROUND(S103*0.75,2)),"New Option"))</f>
        <v/>
      </c>
      <c r="Z103" s="38" t="str">
        <f t="shared" si="28"/>
        <v/>
      </c>
      <c r="AA103" s="38" t="str">
        <f t="shared" si="29"/>
        <v/>
      </c>
      <c r="AB103" s="38" t="str">
        <f t="shared" si="30"/>
        <v/>
      </c>
      <c r="AC103" s="38" t="str">
        <f t="shared" si="31"/>
        <v/>
      </c>
      <c r="AD103" s="38" t="str">
        <f t="shared" si="32"/>
        <v/>
      </c>
      <c r="AE103" s="38" t="str">
        <f t="shared" si="33"/>
        <v/>
      </c>
      <c r="AF103" s="89">
        <f>ROUND(Att1SmallCarriers[[#This Row],[2023 Maximum Government Contribution
Self]]*(1+$B$14),2)</f>
        <v>259.72000000000003</v>
      </c>
      <c r="AG103" s="89">
        <f>ROUND(Att1SmallCarriers[[#This Row],[2023 Maximum Government Contribution
Self+1]]*(1+$B$14),2)</f>
        <v>560.52</v>
      </c>
      <c r="AH103" s="89">
        <f>ROUND(Att1SmallCarriers[[#This Row],[2023 Maximum Government Contribution
Family]]*(1+$B$14),2)</f>
        <v>611.41999999999996</v>
      </c>
      <c r="AI103" s="217" t="str">
        <f>IF(E103="","",MIN(Att1SmallCarriers[[#This Row],[ESTIMATED 2024 Maximum Government Contribution
Self]],ROUND(AC103*0.75,2)))</f>
        <v/>
      </c>
      <c r="AJ103" s="217" t="str">
        <f>IF(E103="","",MIN(Att1SmallCarriers[[#This Row],[ESTIMATED 2024 Maximum Government Contribution
Self+1]],ROUND(AD103*0.75,2)))</f>
        <v/>
      </c>
      <c r="AK103" s="217" t="str">
        <f>IF(E103="","",MIN(Att1SmallCarriers[[#This Row],[ESTIMATED 2024 Maximum Government Contribution
Family]],ROUND(AE103*0.75,2)))</f>
        <v/>
      </c>
      <c r="AL103" s="38" t="str">
        <f t="shared" si="34"/>
        <v/>
      </c>
      <c r="AM103" s="38" t="str">
        <f t="shared" si="35"/>
        <v/>
      </c>
      <c r="AN103" s="38" t="str">
        <f t="shared" si="36"/>
        <v/>
      </c>
      <c r="AO103" s="218" t="str">
        <f t="shared" si="41"/>
        <v/>
      </c>
      <c r="AP103" s="218" t="str">
        <f t="shared" si="42"/>
        <v/>
      </c>
      <c r="AQ103" s="218" t="str">
        <f t="shared" si="43"/>
        <v/>
      </c>
    </row>
    <row r="104" spans="5:43" ht="15.5" x14ac:dyDescent="0.35">
      <c r="E104" s="223"/>
      <c r="N104" s="40"/>
      <c r="O104" s="40"/>
      <c r="P104" s="40"/>
      <c r="Q104" s="39" t="str">
        <f t="shared" si="37"/>
        <v/>
      </c>
      <c r="R104" s="38" t="str">
        <f t="shared" si="38"/>
        <v/>
      </c>
      <c r="S104" s="38" t="str">
        <f t="shared" si="39"/>
        <v/>
      </c>
      <c r="T104" s="147">
        <v>259.72000000000003</v>
      </c>
      <c r="U104" s="147">
        <v>560.52</v>
      </c>
      <c r="V104" s="147">
        <v>611.41999999999996</v>
      </c>
      <c r="W104" s="38" t="str">
        <f t="shared" si="40"/>
        <v/>
      </c>
      <c r="X104" s="217" t="str">
        <f>IF(E104="","",IF(R104&gt;0,MIN(Att1SmallCarriers[[#This Row],[2023 Maximum Government Contribution
Self+1]],ROUND(R104*0.75,2)),"New Option"))</f>
        <v/>
      </c>
      <c r="Y104" s="217" t="str">
        <f>IF(E104="","",IF(S104&gt;0,MIN(Att1SmallCarriers[[#This Row],[2023 Maximum Government Contribution
Family]],ROUND(S104*0.75,2)),"New Option"))</f>
        <v/>
      </c>
      <c r="Z104" s="38" t="str">
        <f t="shared" si="28"/>
        <v/>
      </c>
      <c r="AA104" s="38" t="str">
        <f t="shared" si="29"/>
        <v/>
      </c>
      <c r="AB104" s="38" t="str">
        <f t="shared" si="30"/>
        <v/>
      </c>
      <c r="AC104" s="38" t="str">
        <f t="shared" si="31"/>
        <v/>
      </c>
      <c r="AD104" s="38" t="str">
        <f t="shared" si="32"/>
        <v/>
      </c>
      <c r="AE104" s="38" t="str">
        <f t="shared" si="33"/>
        <v/>
      </c>
      <c r="AF104" s="89">
        <f>ROUND(Att1SmallCarriers[[#This Row],[2023 Maximum Government Contribution
Self]]*(1+$B$14),2)</f>
        <v>259.72000000000003</v>
      </c>
      <c r="AG104" s="89">
        <f>ROUND(Att1SmallCarriers[[#This Row],[2023 Maximum Government Contribution
Self+1]]*(1+$B$14),2)</f>
        <v>560.52</v>
      </c>
      <c r="AH104" s="89">
        <f>ROUND(Att1SmallCarriers[[#This Row],[2023 Maximum Government Contribution
Family]]*(1+$B$14),2)</f>
        <v>611.41999999999996</v>
      </c>
      <c r="AI104" s="217" t="str">
        <f>IF(E104="","",MIN(Att1SmallCarriers[[#This Row],[ESTIMATED 2024 Maximum Government Contribution
Self]],ROUND(AC104*0.75,2)))</f>
        <v/>
      </c>
      <c r="AJ104" s="217" t="str">
        <f>IF(E104="","",MIN(Att1SmallCarriers[[#This Row],[ESTIMATED 2024 Maximum Government Contribution
Self+1]],ROUND(AD104*0.75,2)))</f>
        <v/>
      </c>
      <c r="AK104" s="217" t="str">
        <f>IF(E104="","",MIN(Att1SmallCarriers[[#This Row],[ESTIMATED 2024 Maximum Government Contribution
Family]],ROUND(AE104*0.75,2)))</f>
        <v/>
      </c>
      <c r="AL104" s="38" t="str">
        <f t="shared" si="34"/>
        <v/>
      </c>
      <c r="AM104" s="38" t="str">
        <f t="shared" si="35"/>
        <v/>
      </c>
      <c r="AN104" s="38" t="str">
        <f t="shared" si="36"/>
        <v/>
      </c>
      <c r="AO104" s="218" t="str">
        <f t="shared" si="41"/>
        <v/>
      </c>
      <c r="AP104" s="218" t="str">
        <f t="shared" si="42"/>
        <v/>
      </c>
      <c r="AQ104" s="218" t="str">
        <f t="shared" si="43"/>
        <v/>
      </c>
    </row>
    <row r="105" spans="5:43" ht="15.5" x14ac:dyDescent="0.35">
      <c r="E105" s="223"/>
      <c r="N105" s="40"/>
      <c r="O105" s="40"/>
      <c r="P105" s="40"/>
      <c r="Q105" s="39" t="str">
        <f t="shared" si="37"/>
        <v/>
      </c>
      <c r="R105" s="38" t="str">
        <f t="shared" si="38"/>
        <v/>
      </c>
      <c r="S105" s="38" t="str">
        <f t="shared" si="39"/>
        <v/>
      </c>
      <c r="T105" s="147">
        <v>259.72000000000003</v>
      </c>
      <c r="U105" s="147">
        <v>560.52</v>
      </c>
      <c r="V105" s="147">
        <v>611.41999999999996</v>
      </c>
      <c r="W105" s="38" t="str">
        <f t="shared" si="40"/>
        <v/>
      </c>
      <c r="X105" s="217" t="str">
        <f>IF(E105="","",IF(R105&gt;0,MIN(Att1SmallCarriers[[#This Row],[2023 Maximum Government Contribution
Self+1]],ROUND(R105*0.75,2)),"New Option"))</f>
        <v/>
      </c>
      <c r="Y105" s="217" t="str">
        <f>IF(E105="","",IF(S105&gt;0,MIN(Att1SmallCarriers[[#This Row],[2023 Maximum Government Contribution
Family]],ROUND(S105*0.75,2)),"New Option"))</f>
        <v/>
      </c>
      <c r="Z105" s="38" t="str">
        <f t="shared" si="28"/>
        <v/>
      </c>
      <c r="AA105" s="38" t="str">
        <f t="shared" si="29"/>
        <v/>
      </c>
      <c r="AB105" s="38" t="str">
        <f t="shared" si="30"/>
        <v/>
      </c>
      <c r="AC105" s="38" t="str">
        <f t="shared" si="31"/>
        <v/>
      </c>
      <c r="AD105" s="38" t="str">
        <f t="shared" si="32"/>
        <v/>
      </c>
      <c r="AE105" s="38" t="str">
        <f t="shared" si="33"/>
        <v/>
      </c>
      <c r="AF105" s="89">
        <f>ROUND(Att1SmallCarriers[[#This Row],[2023 Maximum Government Contribution
Self]]*(1+$B$14),2)</f>
        <v>259.72000000000003</v>
      </c>
      <c r="AG105" s="89">
        <f>ROUND(Att1SmallCarriers[[#This Row],[2023 Maximum Government Contribution
Self+1]]*(1+$B$14),2)</f>
        <v>560.52</v>
      </c>
      <c r="AH105" s="89">
        <f>ROUND(Att1SmallCarriers[[#This Row],[2023 Maximum Government Contribution
Family]]*(1+$B$14),2)</f>
        <v>611.41999999999996</v>
      </c>
      <c r="AI105" s="217" t="str">
        <f>IF(E105="","",MIN(Att1SmallCarriers[[#This Row],[ESTIMATED 2024 Maximum Government Contribution
Self]],ROUND(AC105*0.75,2)))</f>
        <v/>
      </c>
      <c r="AJ105" s="217" t="str">
        <f>IF(E105="","",MIN(Att1SmallCarriers[[#This Row],[ESTIMATED 2024 Maximum Government Contribution
Self+1]],ROUND(AD105*0.75,2)))</f>
        <v/>
      </c>
      <c r="AK105" s="217" t="str">
        <f>IF(E105="","",MIN(Att1SmallCarriers[[#This Row],[ESTIMATED 2024 Maximum Government Contribution
Family]],ROUND(AE105*0.75,2)))</f>
        <v/>
      </c>
      <c r="AL105" s="38" t="str">
        <f t="shared" si="34"/>
        <v/>
      </c>
      <c r="AM105" s="38" t="str">
        <f t="shared" si="35"/>
        <v/>
      </c>
      <c r="AN105" s="38" t="str">
        <f t="shared" si="36"/>
        <v/>
      </c>
      <c r="AO105" s="218" t="str">
        <f t="shared" si="41"/>
        <v/>
      </c>
      <c r="AP105" s="218" t="str">
        <f t="shared" si="42"/>
        <v/>
      </c>
      <c r="AQ105" s="218" t="str">
        <f t="shared" si="43"/>
        <v/>
      </c>
    </row>
    <row r="106" spans="5:43" ht="15.5" x14ac:dyDescent="0.35">
      <c r="E106" s="223"/>
      <c r="N106" s="40"/>
      <c r="O106" s="40"/>
      <c r="P106" s="40"/>
      <c r="Q106" s="39" t="str">
        <f t="shared" si="37"/>
        <v/>
      </c>
      <c r="R106" s="38" t="str">
        <f t="shared" si="38"/>
        <v/>
      </c>
      <c r="S106" s="38" t="str">
        <f t="shared" si="39"/>
        <v/>
      </c>
      <c r="T106" s="147">
        <v>259.72000000000003</v>
      </c>
      <c r="U106" s="147">
        <v>560.52</v>
      </c>
      <c r="V106" s="147">
        <v>611.41999999999996</v>
      </c>
      <c r="W106" s="38" t="str">
        <f t="shared" si="40"/>
        <v/>
      </c>
      <c r="X106" s="217" t="str">
        <f>IF(E106="","",IF(R106&gt;0,MIN(Att1SmallCarriers[[#This Row],[2023 Maximum Government Contribution
Self+1]],ROUND(R106*0.75,2)),"New Option"))</f>
        <v/>
      </c>
      <c r="Y106" s="217" t="str">
        <f>IF(E106="","",IF(S106&gt;0,MIN(Att1SmallCarriers[[#This Row],[2023 Maximum Government Contribution
Family]],ROUND(S106*0.75,2)),"New Option"))</f>
        <v/>
      </c>
      <c r="Z106" s="38" t="str">
        <f t="shared" si="28"/>
        <v/>
      </c>
      <c r="AA106" s="38" t="str">
        <f t="shared" si="29"/>
        <v/>
      </c>
      <c r="AB106" s="38" t="str">
        <f t="shared" si="30"/>
        <v/>
      </c>
      <c r="AC106" s="38" t="str">
        <f t="shared" si="31"/>
        <v/>
      </c>
      <c r="AD106" s="38" t="str">
        <f t="shared" si="32"/>
        <v/>
      </c>
      <c r="AE106" s="38" t="str">
        <f t="shared" si="33"/>
        <v/>
      </c>
      <c r="AF106" s="89">
        <f>ROUND(Att1SmallCarriers[[#This Row],[2023 Maximum Government Contribution
Self]]*(1+$B$14),2)</f>
        <v>259.72000000000003</v>
      </c>
      <c r="AG106" s="89">
        <f>ROUND(Att1SmallCarriers[[#This Row],[2023 Maximum Government Contribution
Self+1]]*(1+$B$14),2)</f>
        <v>560.52</v>
      </c>
      <c r="AH106" s="89">
        <f>ROUND(Att1SmallCarriers[[#This Row],[2023 Maximum Government Contribution
Family]]*(1+$B$14),2)</f>
        <v>611.41999999999996</v>
      </c>
      <c r="AI106" s="217" t="str">
        <f>IF(E106="","",MIN(Att1SmallCarriers[[#This Row],[ESTIMATED 2024 Maximum Government Contribution
Self]],ROUND(AC106*0.75,2)))</f>
        <v/>
      </c>
      <c r="AJ106" s="217" t="str">
        <f>IF(E106="","",MIN(Att1SmallCarriers[[#This Row],[ESTIMATED 2024 Maximum Government Contribution
Self+1]],ROUND(AD106*0.75,2)))</f>
        <v/>
      </c>
      <c r="AK106" s="217" t="str">
        <f>IF(E106="","",MIN(Att1SmallCarriers[[#This Row],[ESTIMATED 2024 Maximum Government Contribution
Family]],ROUND(AE106*0.75,2)))</f>
        <v/>
      </c>
      <c r="AL106" s="38" t="str">
        <f t="shared" si="34"/>
        <v/>
      </c>
      <c r="AM106" s="38" t="str">
        <f t="shared" si="35"/>
        <v/>
      </c>
      <c r="AN106" s="38" t="str">
        <f t="shared" si="36"/>
        <v/>
      </c>
      <c r="AO106" s="218" t="str">
        <f t="shared" si="41"/>
        <v/>
      </c>
      <c r="AP106" s="218" t="str">
        <f t="shared" si="42"/>
        <v/>
      </c>
      <c r="AQ106" s="218" t="str">
        <f t="shared" si="43"/>
        <v/>
      </c>
    </row>
    <row r="107" spans="5:43" ht="15.5" x14ac:dyDescent="0.35">
      <c r="E107" s="223"/>
      <c r="N107" s="40"/>
      <c r="O107" s="40"/>
      <c r="P107" s="40"/>
      <c r="Q107" s="39" t="str">
        <f t="shared" si="37"/>
        <v/>
      </c>
      <c r="R107" s="38" t="str">
        <f t="shared" si="38"/>
        <v/>
      </c>
      <c r="S107" s="38" t="str">
        <f t="shared" si="39"/>
        <v/>
      </c>
      <c r="T107" s="147">
        <v>259.72000000000003</v>
      </c>
      <c r="U107" s="147">
        <v>560.52</v>
      </c>
      <c r="V107" s="147">
        <v>611.41999999999996</v>
      </c>
      <c r="W107" s="38" t="str">
        <f t="shared" si="40"/>
        <v/>
      </c>
      <c r="X107" s="217" t="str">
        <f>IF(E107="","",IF(R107&gt;0,MIN(Att1SmallCarriers[[#This Row],[2023 Maximum Government Contribution
Self+1]],ROUND(R107*0.75,2)),"New Option"))</f>
        <v/>
      </c>
      <c r="Y107" s="217" t="str">
        <f>IF(E107="","",IF(S107&gt;0,MIN(Att1SmallCarriers[[#This Row],[2023 Maximum Government Contribution
Family]],ROUND(S107*0.75,2)),"New Option"))</f>
        <v/>
      </c>
      <c r="Z107" s="38" t="str">
        <f t="shared" si="28"/>
        <v/>
      </c>
      <c r="AA107" s="38" t="str">
        <f t="shared" si="29"/>
        <v/>
      </c>
      <c r="AB107" s="38" t="str">
        <f t="shared" si="30"/>
        <v/>
      </c>
      <c r="AC107" s="38" t="str">
        <f t="shared" si="31"/>
        <v/>
      </c>
      <c r="AD107" s="38" t="str">
        <f t="shared" si="32"/>
        <v/>
      </c>
      <c r="AE107" s="38" t="str">
        <f t="shared" si="33"/>
        <v/>
      </c>
      <c r="AF107" s="89">
        <f>ROUND(Att1SmallCarriers[[#This Row],[2023 Maximum Government Contribution
Self]]*(1+$B$14),2)</f>
        <v>259.72000000000003</v>
      </c>
      <c r="AG107" s="89">
        <f>ROUND(Att1SmallCarriers[[#This Row],[2023 Maximum Government Contribution
Self+1]]*(1+$B$14),2)</f>
        <v>560.52</v>
      </c>
      <c r="AH107" s="89">
        <f>ROUND(Att1SmallCarriers[[#This Row],[2023 Maximum Government Contribution
Family]]*(1+$B$14),2)</f>
        <v>611.41999999999996</v>
      </c>
      <c r="AI107" s="217" t="str">
        <f>IF(E107="","",MIN(Att1SmallCarriers[[#This Row],[ESTIMATED 2024 Maximum Government Contribution
Self]],ROUND(AC107*0.75,2)))</f>
        <v/>
      </c>
      <c r="AJ107" s="217" t="str">
        <f>IF(E107="","",MIN(Att1SmallCarriers[[#This Row],[ESTIMATED 2024 Maximum Government Contribution
Self+1]],ROUND(AD107*0.75,2)))</f>
        <v/>
      </c>
      <c r="AK107" s="217" t="str">
        <f>IF(E107="","",MIN(Att1SmallCarriers[[#This Row],[ESTIMATED 2024 Maximum Government Contribution
Family]],ROUND(AE107*0.75,2)))</f>
        <v/>
      </c>
      <c r="AL107" s="38" t="str">
        <f t="shared" si="34"/>
        <v/>
      </c>
      <c r="AM107" s="38" t="str">
        <f t="shared" si="35"/>
        <v/>
      </c>
      <c r="AN107" s="38" t="str">
        <f t="shared" si="36"/>
        <v/>
      </c>
      <c r="AO107" s="218" t="str">
        <f t="shared" si="41"/>
        <v/>
      </c>
      <c r="AP107" s="218" t="str">
        <f t="shared" si="42"/>
        <v/>
      </c>
      <c r="AQ107" s="218" t="str">
        <f t="shared" si="43"/>
        <v/>
      </c>
    </row>
    <row r="108" spans="5:43" ht="15.5" x14ac:dyDescent="0.35">
      <c r="E108" s="223"/>
      <c r="N108" s="40"/>
      <c r="O108" s="40"/>
      <c r="P108" s="40"/>
      <c r="Q108" s="39" t="str">
        <f t="shared" si="37"/>
        <v/>
      </c>
      <c r="R108" s="38" t="str">
        <f t="shared" si="38"/>
        <v/>
      </c>
      <c r="S108" s="38" t="str">
        <f t="shared" si="39"/>
        <v/>
      </c>
      <c r="T108" s="147">
        <v>259.72000000000003</v>
      </c>
      <c r="U108" s="147">
        <v>560.52</v>
      </c>
      <c r="V108" s="147">
        <v>611.41999999999996</v>
      </c>
      <c r="W108" s="38" t="str">
        <f t="shared" si="40"/>
        <v/>
      </c>
      <c r="X108" s="217" t="str">
        <f>IF(E108="","",IF(R108&gt;0,MIN(Att1SmallCarriers[[#This Row],[2023 Maximum Government Contribution
Self+1]],ROUND(R108*0.75,2)),"New Option"))</f>
        <v/>
      </c>
      <c r="Y108" s="217" t="str">
        <f>IF(E108="","",IF(S108&gt;0,MIN(Att1SmallCarriers[[#This Row],[2023 Maximum Government Contribution
Family]],ROUND(S108*0.75,2)),"New Option"))</f>
        <v/>
      </c>
      <c r="Z108" s="38" t="str">
        <f t="shared" si="28"/>
        <v/>
      </c>
      <c r="AA108" s="38" t="str">
        <f t="shared" si="29"/>
        <v/>
      </c>
      <c r="AB108" s="38" t="str">
        <f t="shared" si="30"/>
        <v/>
      </c>
      <c r="AC108" s="38" t="str">
        <f t="shared" si="31"/>
        <v/>
      </c>
      <c r="AD108" s="38" t="str">
        <f t="shared" si="32"/>
        <v/>
      </c>
      <c r="AE108" s="38" t="str">
        <f t="shared" si="33"/>
        <v/>
      </c>
      <c r="AF108" s="89">
        <f>ROUND(Att1SmallCarriers[[#This Row],[2023 Maximum Government Contribution
Self]]*(1+$B$14),2)</f>
        <v>259.72000000000003</v>
      </c>
      <c r="AG108" s="89">
        <f>ROUND(Att1SmallCarriers[[#This Row],[2023 Maximum Government Contribution
Self+1]]*(1+$B$14),2)</f>
        <v>560.52</v>
      </c>
      <c r="AH108" s="89">
        <f>ROUND(Att1SmallCarriers[[#This Row],[2023 Maximum Government Contribution
Family]]*(1+$B$14),2)</f>
        <v>611.41999999999996</v>
      </c>
      <c r="AI108" s="217" t="str">
        <f>IF(E108="","",MIN(Att1SmallCarriers[[#This Row],[ESTIMATED 2024 Maximum Government Contribution
Self]],ROUND(AC108*0.75,2)))</f>
        <v/>
      </c>
      <c r="AJ108" s="217" t="str">
        <f>IF(E108="","",MIN(Att1SmallCarriers[[#This Row],[ESTIMATED 2024 Maximum Government Contribution
Self+1]],ROUND(AD108*0.75,2)))</f>
        <v/>
      </c>
      <c r="AK108" s="217" t="str">
        <f>IF(E108="","",MIN(Att1SmallCarriers[[#This Row],[ESTIMATED 2024 Maximum Government Contribution
Family]],ROUND(AE108*0.75,2)))</f>
        <v/>
      </c>
      <c r="AL108" s="38" t="str">
        <f t="shared" si="34"/>
        <v/>
      </c>
      <c r="AM108" s="38" t="str">
        <f t="shared" si="35"/>
        <v/>
      </c>
      <c r="AN108" s="38" t="str">
        <f t="shared" si="36"/>
        <v/>
      </c>
      <c r="AO108" s="218" t="str">
        <f t="shared" si="41"/>
        <v/>
      </c>
      <c r="AP108" s="218" t="str">
        <f t="shared" si="42"/>
        <v/>
      </c>
      <c r="AQ108" s="218" t="str">
        <f t="shared" si="43"/>
        <v/>
      </c>
    </row>
    <row r="109" spans="5:43" ht="15.5" x14ac:dyDescent="0.35">
      <c r="E109" s="223"/>
      <c r="N109" s="40"/>
      <c r="O109" s="40"/>
      <c r="P109" s="40"/>
      <c r="Q109" s="39" t="str">
        <f t="shared" si="37"/>
        <v/>
      </c>
      <c r="R109" s="38" t="str">
        <f t="shared" si="38"/>
        <v/>
      </c>
      <c r="S109" s="38" t="str">
        <f t="shared" si="39"/>
        <v/>
      </c>
      <c r="T109" s="147">
        <v>259.72000000000003</v>
      </c>
      <c r="U109" s="147">
        <v>560.52</v>
      </c>
      <c r="V109" s="147">
        <v>611.41999999999996</v>
      </c>
      <c r="W109" s="38" t="str">
        <f t="shared" si="40"/>
        <v/>
      </c>
      <c r="X109" s="217" t="str">
        <f>IF(E109="","",IF(R109&gt;0,MIN(Att1SmallCarriers[[#This Row],[2023 Maximum Government Contribution
Self+1]],ROUND(R109*0.75,2)),"New Option"))</f>
        <v/>
      </c>
      <c r="Y109" s="217" t="str">
        <f>IF(E109="","",IF(S109&gt;0,MIN(Att1SmallCarriers[[#This Row],[2023 Maximum Government Contribution
Family]],ROUND(S109*0.75,2)),"New Option"))</f>
        <v/>
      </c>
      <c r="Z109" s="38" t="str">
        <f t="shared" si="28"/>
        <v/>
      </c>
      <c r="AA109" s="38" t="str">
        <f t="shared" si="29"/>
        <v/>
      </c>
      <c r="AB109" s="38" t="str">
        <f t="shared" si="30"/>
        <v/>
      </c>
      <c r="AC109" s="38" t="str">
        <f t="shared" si="31"/>
        <v/>
      </c>
      <c r="AD109" s="38" t="str">
        <f t="shared" si="32"/>
        <v/>
      </c>
      <c r="AE109" s="38" t="str">
        <f t="shared" si="33"/>
        <v/>
      </c>
      <c r="AF109" s="89">
        <f>ROUND(Att1SmallCarriers[[#This Row],[2023 Maximum Government Contribution
Self]]*(1+$B$14),2)</f>
        <v>259.72000000000003</v>
      </c>
      <c r="AG109" s="89">
        <f>ROUND(Att1SmallCarriers[[#This Row],[2023 Maximum Government Contribution
Self+1]]*(1+$B$14),2)</f>
        <v>560.52</v>
      </c>
      <c r="AH109" s="89">
        <f>ROUND(Att1SmallCarriers[[#This Row],[2023 Maximum Government Contribution
Family]]*(1+$B$14),2)</f>
        <v>611.41999999999996</v>
      </c>
      <c r="AI109" s="217" t="str">
        <f>IF(E109="","",MIN(Att1SmallCarriers[[#This Row],[ESTIMATED 2024 Maximum Government Contribution
Self]],ROUND(AC109*0.75,2)))</f>
        <v/>
      </c>
      <c r="AJ109" s="217" t="str">
        <f>IF(E109="","",MIN(Att1SmallCarriers[[#This Row],[ESTIMATED 2024 Maximum Government Contribution
Self+1]],ROUND(AD109*0.75,2)))</f>
        <v/>
      </c>
      <c r="AK109" s="217" t="str">
        <f>IF(E109="","",MIN(Att1SmallCarriers[[#This Row],[ESTIMATED 2024 Maximum Government Contribution
Family]],ROUND(AE109*0.75,2)))</f>
        <v/>
      </c>
      <c r="AL109" s="38" t="str">
        <f t="shared" si="34"/>
        <v/>
      </c>
      <c r="AM109" s="38" t="str">
        <f t="shared" si="35"/>
        <v/>
      </c>
      <c r="AN109" s="38" t="str">
        <f t="shared" si="36"/>
        <v/>
      </c>
      <c r="AO109" s="218" t="str">
        <f t="shared" si="41"/>
        <v/>
      </c>
      <c r="AP109" s="218" t="str">
        <f t="shared" si="42"/>
        <v/>
      </c>
      <c r="AQ109" s="218" t="str">
        <f t="shared" si="43"/>
        <v/>
      </c>
    </row>
    <row r="110" spans="5:43" ht="15.5" x14ac:dyDescent="0.35">
      <c r="E110" s="223"/>
      <c r="N110" s="40"/>
      <c r="O110" s="40"/>
      <c r="P110" s="40"/>
      <c r="Q110" s="39" t="str">
        <f t="shared" si="37"/>
        <v/>
      </c>
      <c r="R110" s="38" t="str">
        <f t="shared" si="38"/>
        <v/>
      </c>
      <c r="S110" s="38" t="str">
        <f t="shared" si="39"/>
        <v/>
      </c>
      <c r="T110" s="147">
        <v>259.72000000000003</v>
      </c>
      <c r="U110" s="147">
        <v>560.52</v>
      </c>
      <c r="V110" s="147">
        <v>611.41999999999996</v>
      </c>
      <c r="W110" s="38" t="str">
        <f t="shared" si="40"/>
        <v/>
      </c>
      <c r="X110" s="217" t="str">
        <f>IF(E110="","",IF(R110&gt;0,MIN(Att1SmallCarriers[[#This Row],[2023 Maximum Government Contribution
Self+1]],ROUND(R110*0.75,2)),"New Option"))</f>
        <v/>
      </c>
      <c r="Y110" s="217" t="str">
        <f>IF(E110="","",IF(S110&gt;0,MIN(Att1SmallCarriers[[#This Row],[2023 Maximum Government Contribution
Family]],ROUND(S110*0.75,2)),"New Option"))</f>
        <v/>
      </c>
      <c r="Z110" s="38" t="str">
        <f t="shared" si="28"/>
        <v/>
      </c>
      <c r="AA110" s="38" t="str">
        <f t="shared" si="29"/>
        <v/>
      </c>
      <c r="AB110" s="38" t="str">
        <f t="shared" si="30"/>
        <v/>
      </c>
      <c r="AC110" s="38" t="str">
        <f t="shared" si="31"/>
        <v/>
      </c>
      <c r="AD110" s="38" t="str">
        <f t="shared" si="32"/>
        <v/>
      </c>
      <c r="AE110" s="38" t="str">
        <f t="shared" si="33"/>
        <v/>
      </c>
      <c r="AF110" s="89">
        <f>ROUND(Att1SmallCarriers[[#This Row],[2023 Maximum Government Contribution
Self]]*(1+$B$14),2)</f>
        <v>259.72000000000003</v>
      </c>
      <c r="AG110" s="89">
        <f>ROUND(Att1SmallCarriers[[#This Row],[2023 Maximum Government Contribution
Self+1]]*(1+$B$14),2)</f>
        <v>560.52</v>
      </c>
      <c r="AH110" s="89">
        <f>ROUND(Att1SmallCarriers[[#This Row],[2023 Maximum Government Contribution
Family]]*(1+$B$14),2)</f>
        <v>611.41999999999996</v>
      </c>
      <c r="AI110" s="217" t="str">
        <f>IF(E110="","",MIN(Att1SmallCarriers[[#This Row],[ESTIMATED 2024 Maximum Government Contribution
Self]],ROUND(AC110*0.75,2)))</f>
        <v/>
      </c>
      <c r="AJ110" s="217" t="str">
        <f>IF(E110="","",MIN(Att1SmallCarriers[[#This Row],[ESTIMATED 2024 Maximum Government Contribution
Self+1]],ROUND(AD110*0.75,2)))</f>
        <v/>
      </c>
      <c r="AK110" s="217" t="str">
        <f>IF(E110="","",MIN(Att1SmallCarriers[[#This Row],[ESTIMATED 2024 Maximum Government Contribution
Family]],ROUND(AE110*0.75,2)))</f>
        <v/>
      </c>
      <c r="AL110" s="38" t="str">
        <f t="shared" si="34"/>
        <v/>
      </c>
      <c r="AM110" s="38" t="str">
        <f t="shared" si="35"/>
        <v/>
      </c>
      <c r="AN110" s="38" t="str">
        <f t="shared" si="36"/>
        <v/>
      </c>
      <c r="AO110" s="218" t="str">
        <f t="shared" si="41"/>
        <v/>
      </c>
      <c r="AP110" s="218" t="str">
        <f t="shared" si="42"/>
        <v/>
      </c>
      <c r="AQ110" s="218" t="str">
        <f t="shared" si="43"/>
        <v/>
      </c>
    </row>
    <row r="111" spans="5:43" ht="15.5" x14ac:dyDescent="0.35">
      <c r="E111" s="223"/>
      <c r="N111" s="40"/>
      <c r="O111" s="40"/>
      <c r="P111" s="40"/>
      <c r="Q111" s="39" t="str">
        <f t="shared" si="37"/>
        <v/>
      </c>
      <c r="R111" s="38" t="str">
        <f t="shared" si="38"/>
        <v/>
      </c>
      <c r="S111" s="38" t="str">
        <f t="shared" si="39"/>
        <v/>
      </c>
      <c r="T111" s="147">
        <v>259.72000000000003</v>
      </c>
      <c r="U111" s="147">
        <v>560.52</v>
      </c>
      <c r="V111" s="147">
        <v>611.41999999999996</v>
      </c>
      <c r="W111" s="38" t="str">
        <f t="shared" si="40"/>
        <v/>
      </c>
      <c r="X111" s="217" t="str">
        <f>IF(E111="","",IF(R111&gt;0,MIN(Att1SmallCarriers[[#This Row],[2023 Maximum Government Contribution
Self+1]],ROUND(R111*0.75,2)),"New Option"))</f>
        <v/>
      </c>
      <c r="Y111" s="217" t="str">
        <f>IF(E111="","",IF(S111&gt;0,MIN(Att1SmallCarriers[[#This Row],[2023 Maximum Government Contribution
Family]],ROUND(S111*0.75,2)),"New Option"))</f>
        <v/>
      </c>
      <c r="Z111" s="38" t="str">
        <f t="shared" si="28"/>
        <v/>
      </c>
      <c r="AA111" s="38" t="str">
        <f t="shared" si="29"/>
        <v/>
      </c>
      <c r="AB111" s="38" t="str">
        <f t="shared" si="30"/>
        <v/>
      </c>
      <c r="AC111" s="38" t="str">
        <f t="shared" si="31"/>
        <v/>
      </c>
      <c r="AD111" s="38" t="str">
        <f t="shared" si="32"/>
        <v/>
      </c>
      <c r="AE111" s="38" t="str">
        <f t="shared" si="33"/>
        <v/>
      </c>
      <c r="AF111" s="89">
        <f>ROUND(Att1SmallCarriers[[#This Row],[2023 Maximum Government Contribution
Self]]*(1+$B$14),2)</f>
        <v>259.72000000000003</v>
      </c>
      <c r="AG111" s="89">
        <f>ROUND(Att1SmallCarriers[[#This Row],[2023 Maximum Government Contribution
Self+1]]*(1+$B$14),2)</f>
        <v>560.52</v>
      </c>
      <c r="AH111" s="89">
        <f>ROUND(Att1SmallCarriers[[#This Row],[2023 Maximum Government Contribution
Family]]*(1+$B$14),2)</f>
        <v>611.41999999999996</v>
      </c>
      <c r="AI111" s="217" t="str">
        <f>IF(E111="","",MIN(Att1SmallCarriers[[#This Row],[ESTIMATED 2024 Maximum Government Contribution
Self]],ROUND(AC111*0.75,2)))</f>
        <v/>
      </c>
      <c r="AJ111" s="217" t="str">
        <f>IF(E111="","",MIN(Att1SmallCarriers[[#This Row],[ESTIMATED 2024 Maximum Government Contribution
Self+1]],ROUND(AD111*0.75,2)))</f>
        <v/>
      </c>
      <c r="AK111" s="217" t="str">
        <f>IF(E111="","",MIN(Att1SmallCarriers[[#This Row],[ESTIMATED 2024 Maximum Government Contribution
Family]],ROUND(AE111*0.75,2)))</f>
        <v/>
      </c>
      <c r="AL111" s="38" t="str">
        <f t="shared" si="34"/>
        <v/>
      </c>
      <c r="AM111" s="38" t="str">
        <f t="shared" si="35"/>
        <v/>
      </c>
      <c r="AN111" s="38" t="str">
        <f t="shared" si="36"/>
        <v/>
      </c>
      <c r="AO111" s="218" t="str">
        <f t="shared" si="41"/>
        <v/>
      </c>
      <c r="AP111" s="218" t="str">
        <f t="shared" si="42"/>
        <v/>
      </c>
      <c r="AQ111" s="218" t="str">
        <f t="shared" si="43"/>
        <v/>
      </c>
    </row>
    <row r="112" spans="5:43" ht="15.5" x14ac:dyDescent="0.35">
      <c r="E112" s="223"/>
      <c r="N112" s="40"/>
      <c r="O112" s="40"/>
      <c r="P112" s="40"/>
      <c r="Q112" s="39" t="str">
        <f t="shared" si="37"/>
        <v/>
      </c>
      <c r="R112" s="38" t="str">
        <f t="shared" si="38"/>
        <v/>
      </c>
      <c r="S112" s="38" t="str">
        <f t="shared" si="39"/>
        <v/>
      </c>
      <c r="T112" s="147">
        <v>259.72000000000003</v>
      </c>
      <c r="U112" s="147">
        <v>560.52</v>
      </c>
      <c r="V112" s="147">
        <v>611.41999999999996</v>
      </c>
      <c r="W112" s="38" t="str">
        <f t="shared" si="40"/>
        <v/>
      </c>
      <c r="X112" s="217" t="str">
        <f>IF(E112="","",IF(R112&gt;0,MIN(Att1SmallCarriers[[#This Row],[2023 Maximum Government Contribution
Self+1]],ROUND(R112*0.75,2)),"New Option"))</f>
        <v/>
      </c>
      <c r="Y112" s="217" t="str">
        <f>IF(E112="","",IF(S112&gt;0,MIN(Att1SmallCarriers[[#This Row],[2023 Maximum Government Contribution
Family]],ROUND(S112*0.75,2)),"New Option"))</f>
        <v/>
      </c>
      <c r="Z112" s="38" t="str">
        <f t="shared" si="28"/>
        <v/>
      </c>
      <c r="AA112" s="38" t="str">
        <f t="shared" si="29"/>
        <v/>
      </c>
      <c r="AB112" s="38" t="str">
        <f t="shared" si="30"/>
        <v/>
      </c>
      <c r="AC112" s="38" t="str">
        <f t="shared" si="31"/>
        <v/>
      </c>
      <c r="AD112" s="38" t="str">
        <f t="shared" si="32"/>
        <v/>
      </c>
      <c r="AE112" s="38" t="str">
        <f t="shared" si="33"/>
        <v/>
      </c>
      <c r="AF112" s="89">
        <f>ROUND(Att1SmallCarriers[[#This Row],[2023 Maximum Government Contribution
Self]]*(1+$B$14),2)</f>
        <v>259.72000000000003</v>
      </c>
      <c r="AG112" s="89">
        <f>ROUND(Att1SmallCarriers[[#This Row],[2023 Maximum Government Contribution
Self+1]]*(1+$B$14),2)</f>
        <v>560.52</v>
      </c>
      <c r="AH112" s="89">
        <f>ROUND(Att1SmallCarriers[[#This Row],[2023 Maximum Government Contribution
Family]]*(1+$B$14),2)</f>
        <v>611.41999999999996</v>
      </c>
      <c r="AI112" s="217" t="str">
        <f>IF(E112="","",MIN(Att1SmallCarriers[[#This Row],[ESTIMATED 2024 Maximum Government Contribution
Self]],ROUND(AC112*0.75,2)))</f>
        <v/>
      </c>
      <c r="AJ112" s="217" t="str">
        <f>IF(E112="","",MIN(Att1SmallCarriers[[#This Row],[ESTIMATED 2024 Maximum Government Contribution
Self+1]],ROUND(AD112*0.75,2)))</f>
        <v/>
      </c>
      <c r="AK112" s="217" t="str">
        <f>IF(E112="","",MIN(Att1SmallCarriers[[#This Row],[ESTIMATED 2024 Maximum Government Contribution
Family]],ROUND(AE112*0.75,2)))</f>
        <v/>
      </c>
      <c r="AL112" s="38" t="str">
        <f t="shared" si="34"/>
        <v/>
      </c>
      <c r="AM112" s="38" t="str">
        <f t="shared" si="35"/>
        <v/>
      </c>
      <c r="AN112" s="38" t="str">
        <f t="shared" si="36"/>
        <v/>
      </c>
      <c r="AO112" s="218" t="str">
        <f t="shared" si="41"/>
        <v/>
      </c>
      <c r="AP112" s="218" t="str">
        <f t="shared" si="42"/>
        <v/>
      </c>
      <c r="AQ112" s="218" t="str">
        <f t="shared" si="43"/>
        <v/>
      </c>
    </row>
    <row r="113" spans="5:43" ht="15.5" x14ac:dyDescent="0.35">
      <c r="E113" s="223"/>
      <c r="N113" s="40"/>
      <c r="O113" s="40"/>
      <c r="P113" s="40"/>
      <c r="Q113" s="39" t="str">
        <f t="shared" si="37"/>
        <v/>
      </c>
      <c r="R113" s="38" t="str">
        <f t="shared" si="38"/>
        <v/>
      </c>
      <c r="S113" s="38" t="str">
        <f t="shared" si="39"/>
        <v/>
      </c>
      <c r="T113" s="147">
        <v>259.72000000000003</v>
      </c>
      <c r="U113" s="147">
        <v>560.52</v>
      </c>
      <c r="V113" s="147">
        <v>611.41999999999996</v>
      </c>
      <c r="W113" s="38" t="str">
        <f t="shared" si="40"/>
        <v/>
      </c>
      <c r="X113" s="217" t="str">
        <f>IF(E113="","",IF(R113&gt;0,MIN(Att1SmallCarriers[[#This Row],[2023 Maximum Government Contribution
Self+1]],ROUND(R113*0.75,2)),"New Option"))</f>
        <v/>
      </c>
      <c r="Y113" s="217" t="str">
        <f>IF(E113="","",IF(S113&gt;0,MIN(Att1SmallCarriers[[#This Row],[2023 Maximum Government Contribution
Family]],ROUND(S113*0.75,2)),"New Option"))</f>
        <v/>
      </c>
      <c r="Z113" s="38" t="str">
        <f t="shared" si="28"/>
        <v/>
      </c>
      <c r="AA113" s="38" t="str">
        <f t="shared" si="29"/>
        <v/>
      </c>
      <c r="AB113" s="38" t="str">
        <f t="shared" si="30"/>
        <v/>
      </c>
      <c r="AC113" s="38" t="str">
        <f t="shared" si="31"/>
        <v/>
      </c>
      <c r="AD113" s="38" t="str">
        <f t="shared" si="32"/>
        <v/>
      </c>
      <c r="AE113" s="38" t="str">
        <f t="shared" si="33"/>
        <v/>
      </c>
      <c r="AF113" s="89">
        <f>ROUND(Att1SmallCarriers[[#This Row],[2023 Maximum Government Contribution
Self]]*(1+$B$14),2)</f>
        <v>259.72000000000003</v>
      </c>
      <c r="AG113" s="89">
        <f>ROUND(Att1SmallCarriers[[#This Row],[2023 Maximum Government Contribution
Self+1]]*(1+$B$14),2)</f>
        <v>560.52</v>
      </c>
      <c r="AH113" s="89">
        <f>ROUND(Att1SmallCarriers[[#This Row],[2023 Maximum Government Contribution
Family]]*(1+$B$14),2)</f>
        <v>611.41999999999996</v>
      </c>
      <c r="AI113" s="217" t="str">
        <f>IF(E113="","",MIN(Att1SmallCarriers[[#This Row],[ESTIMATED 2024 Maximum Government Contribution
Self]],ROUND(AC113*0.75,2)))</f>
        <v/>
      </c>
      <c r="AJ113" s="217" t="str">
        <f>IF(E113="","",MIN(Att1SmallCarriers[[#This Row],[ESTIMATED 2024 Maximum Government Contribution
Self+1]],ROUND(AD113*0.75,2)))</f>
        <v/>
      </c>
      <c r="AK113" s="217" t="str">
        <f>IF(E113="","",MIN(Att1SmallCarriers[[#This Row],[ESTIMATED 2024 Maximum Government Contribution
Family]],ROUND(AE113*0.75,2)))</f>
        <v/>
      </c>
      <c r="AL113" s="38" t="str">
        <f t="shared" si="34"/>
        <v/>
      </c>
      <c r="AM113" s="38" t="str">
        <f t="shared" si="35"/>
        <v/>
      </c>
      <c r="AN113" s="38" t="str">
        <f t="shared" si="36"/>
        <v/>
      </c>
      <c r="AO113" s="218" t="str">
        <f t="shared" si="41"/>
        <v/>
      </c>
      <c r="AP113" s="218" t="str">
        <f t="shared" si="42"/>
        <v/>
      </c>
      <c r="AQ113" s="218" t="str">
        <f t="shared" si="43"/>
        <v/>
      </c>
    </row>
    <row r="114" spans="5:43" ht="15.5" x14ac:dyDescent="0.35">
      <c r="E114" s="223"/>
      <c r="N114" s="40"/>
      <c r="O114" s="40"/>
      <c r="P114" s="40"/>
      <c r="Q114" s="39" t="str">
        <f t="shared" si="37"/>
        <v/>
      </c>
      <c r="R114" s="38" t="str">
        <f t="shared" si="38"/>
        <v/>
      </c>
      <c r="S114" s="38" t="str">
        <f t="shared" si="39"/>
        <v/>
      </c>
      <c r="T114" s="147">
        <v>259.72000000000003</v>
      </c>
      <c r="U114" s="147">
        <v>560.52</v>
      </c>
      <c r="V114" s="147">
        <v>611.41999999999996</v>
      </c>
      <c r="W114" s="38" t="str">
        <f t="shared" si="40"/>
        <v/>
      </c>
      <c r="X114" s="217" t="str">
        <f>IF(E114="","",IF(R114&gt;0,MIN(Att1SmallCarriers[[#This Row],[2023 Maximum Government Contribution
Self+1]],ROUND(R114*0.75,2)),"New Option"))</f>
        <v/>
      </c>
      <c r="Y114" s="217" t="str">
        <f>IF(E114="","",IF(S114&gt;0,MIN(Att1SmallCarriers[[#This Row],[2023 Maximum Government Contribution
Family]],ROUND(S114*0.75,2)),"New Option"))</f>
        <v/>
      </c>
      <c r="Z114" s="38" t="str">
        <f t="shared" si="28"/>
        <v/>
      </c>
      <c r="AA114" s="38" t="str">
        <f t="shared" si="29"/>
        <v/>
      </c>
      <c r="AB114" s="38" t="str">
        <f t="shared" si="30"/>
        <v/>
      </c>
      <c r="AC114" s="38" t="str">
        <f t="shared" si="31"/>
        <v/>
      </c>
      <c r="AD114" s="38" t="str">
        <f t="shared" si="32"/>
        <v/>
      </c>
      <c r="AE114" s="38" t="str">
        <f t="shared" si="33"/>
        <v/>
      </c>
      <c r="AF114" s="89">
        <f>ROUND(Att1SmallCarriers[[#This Row],[2023 Maximum Government Contribution
Self]]*(1+$B$14),2)</f>
        <v>259.72000000000003</v>
      </c>
      <c r="AG114" s="89">
        <f>ROUND(Att1SmallCarriers[[#This Row],[2023 Maximum Government Contribution
Self+1]]*(1+$B$14),2)</f>
        <v>560.52</v>
      </c>
      <c r="AH114" s="89">
        <f>ROUND(Att1SmallCarriers[[#This Row],[2023 Maximum Government Contribution
Family]]*(1+$B$14),2)</f>
        <v>611.41999999999996</v>
      </c>
      <c r="AI114" s="217" t="str">
        <f>IF(E114="","",MIN(Att1SmallCarriers[[#This Row],[ESTIMATED 2024 Maximum Government Contribution
Self]],ROUND(AC114*0.75,2)))</f>
        <v/>
      </c>
      <c r="AJ114" s="217" t="str">
        <f>IF(E114="","",MIN(Att1SmallCarriers[[#This Row],[ESTIMATED 2024 Maximum Government Contribution
Self+1]],ROUND(AD114*0.75,2)))</f>
        <v/>
      </c>
      <c r="AK114" s="217" t="str">
        <f>IF(E114="","",MIN(Att1SmallCarriers[[#This Row],[ESTIMATED 2024 Maximum Government Contribution
Family]],ROUND(AE114*0.75,2)))</f>
        <v/>
      </c>
      <c r="AL114" s="38" t="str">
        <f t="shared" si="34"/>
        <v/>
      </c>
      <c r="AM114" s="38" t="str">
        <f t="shared" si="35"/>
        <v/>
      </c>
      <c r="AN114" s="38" t="str">
        <f t="shared" si="36"/>
        <v/>
      </c>
      <c r="AO114" s="218" t="str">
        <f t="shared" si="41"/>
        <v/>
      </c>
      <c r="AP114" s="218" t="str">
        <f t="shared" si="42"/>
        <v/>
      </c>
      <c r="AQ114" s="218" t="str">
        <f t="shared" si="43"/>
        <v/>
      </c>
    </row>
    <row r="115" spans="5:43" ht="15.5" x14ac:dyDescent="0.35">
      <c r="E115" s="223"/>
      <c r="N115" s="40"/>
      <c r="O115" s="40"/>
      <c r="P115" s="40"/>
      <c r="Q115" s="39" t="str">
        <f t="shared" si="37"/>
        <v/>
      </c>
      <c r="R115" s="38" t="str">
        <f t="shared" si="38"/>
        <v/>
      </c>
      <c r="S115" s="38" t="str">
        <f t="shared" si="39"/>
        <v/>
      </c>
      <c r="T115" s="147">
        <v>259.72000000000003</v>
      </c>
      <c r="U115" s="147">
        <v>560.52</v>
      </c>
      <c r="V115" s="147">
        <v>611.41999999999996</v>
      </c>
      <c r="W115" s="38" t="str">
        <f t="shared" si="40"/>
        <v/>
      </c>
      <c r="X115" s="217" t="str">
        <f>IF(E115="","",IF(R115&gt;0,MIN(Att1SmallCarriers[[#This Row],[2023 Maximum Government Contribution
Self+1]],ROUND(R115*0.75,2)),"New Option"))</f>
        <v/>
      </c>
      <c r="Y115" s="217" t="str">
        <f>IF(E115="","",IF(S115&gt;0,MIN(Att1SmallCarriers[[#This Row],[2023 Maximum Government Contribution
Family]],ROUND(S115*0.75,2)),"New Option"))</f>
        <v/>
      </c>
      <c r="Z115" s="38" t="str">
        <f t="shared" ref="Z115:Z151" si="44">IF(E115="","",IF(Q115&gt;0, Q115-W115,"New Option"))</f>
        <v/>
      </c>
      <c r="AA115" s="38" t="str">
        <f t="shared" ref="AA115:AA151" si="45">IF(E115="","",IF(R115&gt;0, R115-X115,"New Option"))</f>
        <v/>
      </c>
      <c r="AB115" s="38" t="str">
        <f t="shared" ref="AB115:AB151" si="46">IF(E115="","",IF(S115&gt;0, S115-Y115,"New Option"))</f>
        <v/>
      </c>
      <c r="AC115" s="38" t="str">
        <f t="shared" ref="AC115:AC151" si="47">IF(E115="","",ROUND(K115*1.04,2))</f>
        <v/>
      </c>
      <c r="AD115" s="38" t="str">
        <f t="shared" ref="AD115:AD151" si="48">IF(E115="","",ROUND(L115*1.04,2))</f>
        <v/>
      </c>
      <c r="AE115" s="38" t="str">
        <f t="shared" ref="AE115:AE151" si="49">IF(E115="","",ROUND(M115*1.04,2))</f>
        <v/>
      </c>
      <c r="AF115" s="89">
        <f>ROUND(Att1SmallCarriers[[#This Row],[2023 Maximum Government Contribution
Self]]*(1+$B$14),2)</f>
        <v>259.72000000000003</v>
      </c>
      <c r="AG115" s="89">
        <f>ROUND(Att1SmallCarriers[[#This Row],[2023 Maximum Government Contribution
Self+1]]*(1+$B$14),2)</f>
        <v>560.52</v>
      </c>
      <c r="AH115" s="89">
        <f>ROUND(Att1SmallCarriers[[#This Row],[2023 Maximum Government Contribution
Family]]*(1+$B$14),2)</f>
        <v>611.41999999999996</v>
      </c>
      <c r="AI115" s="217" t="str">
        <f>IF(E115="","",MIN(Att1SmallCarriers[[#This Row],[ESTIMATED 2024 Maximum Government Contribution
Self]],ROUND(AC115*0.75,2)))</f>
        <v/>
      </c>
      <c r="AJ115" s="217" t="str">
        <f>IF(E115="","",MIN(Att1SmallCarriers[[#This Row],[ESTIMATED 2024 Maximum Government Contribution
Self+1]],ROUND(AD115*0.75,2)))</f>
        <v/>
      </c>
      <c r="AK115" s="217" t="str">
        <f>IF(E115="","",MIN(Att1SmallCarriers[[#This Row],[ESTIMATED 2024 Maximum Government Contribution
Family]],ROUND(AE115*0.75,2)))</f>
        <v/>
      </c>
      <c r="AL115" s="38" t="str">
        <f t="shared" ref="AL115:AL151" si="50">IF(E115="","",AC115-AI115)</f>
        <v/>
      </c>
      <c r="AM115" s="38" t="str">
        <f t="shared" ref="AM115:AM151" si="51">IF(E115="","",AD115-AJ115)</f>
        <v/>
      </c>
      <c r="AN115" s="38" t="str">
        <f t="shared" ref="AN115:AN151" si="52">IF(E115="","",AE115-AK115)</f>
        <v/>
      </c>
      <c r="AO115" s="218" t="str">
        <f t="shared" si="41"/>
        <v/>
      </c>
      <c r="AP115" s="218" t="str">
        <f t="shared" si="42"/>
        <v/>
      </c>
      <c r="AQ115" s="218" t="str">
        <f t="shared" si="43"/>
        <v/>
      </c>
    </row>
    <row r="116" spans="5:43" ht="15.5" x14ac:dyDescent="0.35">
      <c r="E116" s="223"/>
      <c r="N116" s="40"/>
      <c r="O116" s="40"/>
      <c r="P116" s="40"/>
      <c r="Q116" s="39" t="str">
        <f t="shared" si="37"/>
        <v/>
      </c>
      <c r="R116" s="38" t="str">
        <f t="shared" si="38"/>
        <v/>
      </c>
      <c r="S116" s="38" t="str">
        <f t="shared" si="39"/>
        <v/>
      </c>
      <c r="T116" s="147">
        <v>259.72000000000003</v>
      </c>
      <c r="U116" s="147">
        <v>560.52</v>
      </c>
      <c r="V116" s="147">
        <v>611.41999999999996</v>
      </c>
      <c r="W116" s="38" t="str">
        <f t="shared" si="40"/>
        <v/>
      </c>
      <c r="X116" s="217" t="str">
        <f>IF(E116="","",IF(R116&gt;0,MIN(Att1SmallCarriers[[#This Row],[2023 Maximum Government Contribution
Self+1]],ROUND(R116*0.75,2)),"New Option"))</f>
        <v/>
      </c>
      <c r="Y116" s="217" t="str">
        <f>IF(E116="","",IF(S116&gt;0,MIN(Att1SmallCarriers[[#This Row],[2023 Maximum Government Contribution
Family]],ROUND(S116*0.75,2)),"New Option"))</f>
        <v/>
      </c>
      <c r="Z116" s="38" t="str">
        <f t="shared" si="44"/>
        <v/>
      </c>
      <c r="AA116" s="38" t="str">
        <f t="shared" si="45"/>
        <v/>
      </c>
      <c r="AB116" s="38" t="str">
        <f t="shared" si="46"/>
        <v/>
      </c>
      <c r="AC116" s="38" t="str">
        <f t="shared" si="47"/>
        <v/>
      </c>
      <c r="AD116" s="38" t="str">
        <f t="shared" si="48"/>
        <v/>
      </c>
      <c r="AE116" s="38" t="str">
        <f t="shared" si="49"/>
        <v/>
      </c>
      <c r="AF116" s="89">
        <f>ROUND(Att1SmallCarriers[[#This Row],[2023 Maximum Government Contribution
Self]]*(1+$B$14),2)</f>
        <v>259.72000000000003</v>
      </c>
      <c r="AG116" s="89">
        <f>ROUND(Att1SmallCarriers[[#This Row],[2023 Maximum Government Contribution
Self+1]]*(1+$B$14),2)</f>
        <v>560.52</v>
      </c>
      <c r="AH116" s="89">
        <f>ROUND(Att1SmallCarriers[[#This Row],[2023 Maximum Government Contribution
Family]]*(1+$B$14),2)</f>
        <v>611.41999999999996</v>
      </c>
      <c r="AI116" s="217" t="str">
        <f>IF(E116="","",MIN(Att1SmallCarriers[[#This Row],[ESTIMATED 2024 Maximum Government Contribution
Self]],ROUND(AC116*0.75,2)))</f>
        <v/>
      </c>
      <c r="AJ116" s="217" t="str">
        <f>IF(E116="","",MIN(Att1SmallCarriers[[#This Row],[ESTIMATED 2024 Maximum Government Contribution
Self+1]],ROUND(AD116*0.75,2)))</f>
        <v/>
      </c>
      <c r="AK116" s="217" t="str">
        <f>IF(E116="","",MIN(Att1SmallCarriers[[#This Row],[ESTIMATED 2024 Maximum Government Contribution
Family]],ROUND(AE116*0.75,2)))</f>
        <v/>
      </c>
      <c r="AL116" s="38" t="str">
        <f t="shared" si="50"/>
        <v/>
      </c>
      <c r="AM116" s="38" t="str">
        <f t="shared" si="51"/>
        <v/>
      </c>
      <c r="AN116" s="38" t="str">
        <f t="shared" si="52"/>
        <v/>
      </c>
      <c r="AO116" s="218" t="str">
        <f t="shared" si="41"/>
        <v/>
      </c>
      <c r="AP116" s="218" t="str">
        <f t="shared" si="42"/>
        <v/>
      </c>
      <c r="AQ116" s="218" t="str">
        <f t="shared" si="43"/>
        <v/>
      </c>
    </row>
    <row r="117" spans="5:43" ht="15.5" x14ac:dyDescent="0.35">
      <c r="E117" s="223"/>
      <c r="N117" s="40"/>
      <c r="O117" s="40"/>
      <c r="P117" s="40"/>
      <c r="Q117" s="39" t="str">
        <f t="shared" si="37"/>
        <v/>
      </c>
      <c r="R117" s="38" t="str">
        <f t="shared" si="38"/>
        <v/>
      </c>
      <c r="S117" s="38" t="str">
        <f t="shared" si="39"/>
        <v/>
      </c>
      <c r="T117" s="147">
        <v>259.72000000000003</v>
      </c>
      <c r="U117" s="147">
        <v>560.52</v>
      </c>
      <c r="V117" s="147">
        <v>611.41999999999996</v>
      </c>
      <c r="W117" s="38" t="str">
        <f t="shared" si="40"/>
        <v/>
      </c>
      <c r="X117" s="217" t="str">
        <f>IF(E117="","",IF(R117&gt;0,MIN(Att1SmallCarriers[[#This Row],[2023 Maximum Government Contribution
Self+1]],ROUND(R117*0.75,2)),"New Option"))</f>
        <v/>
      </c>
      <c r="Y117" s="217" t="str">
        <f>IF(E117="","",IF(S117&gt;0,MIN(Att1SmallCarriers[[#This Row],[2023 Maximum Government Contribution
Family]],ROUND(S117*0.75,2)),"New Option"))</f>
        <v/>
      </c>
      <c r="Z117" s="38" t="str">
        <f t="shared" si="44"/>
        <v/>
      </c>
      <c r="AA117" s="38" t="str">
        <f t="shared" si="45"/>
        <v/>
      </c>
      <c r="AB117" s="38" t="str">
        <f t="shared" si="46"/>
        <v/>
      </c>
      <c r="AC117" s="38" t="str">
        <f t="shared" si="47"/>
        <v/>
      </c>
      <c r="AD117" s="38" t="str">
        <f t="shared" si="48"/>
        <v/>
      </c>
      <c r="AE117" s="38" t="str">
        <f t="shared" si="49"/>
        <v/>
      </c>
      <c r="AF117" s="89">
        <f>ROUND(Att1SmallCarriers[[#This Row],[2023 Maximum Government Contribution
Self]]*(1+$B$14),2)</f>
        <v>259.72000000000003</v>
      </c>
      <c r="AG117" s="89">
        <f>ROUND(Att1SmallCarriers[[#This Row],[2023 Maximum Government Contribution
Self+1]]*(1+$B$14),2)</f>
        <v>560.52</v>
      </c>
      <c r="AH117" s="89">
        <f>ROUND(Att1SmallCarriers[[#This Row],[2023 Maximum Government Contribution
Family]]*(1+$B$14),2)</f>
        <v>611.41999999999996</v>
      </c>
      <c r="AI117" s="217" t="str">
        <f>IF(E117="","",MIN(Att1SmallCarriers[[#This Row],[ESTIMATED 2024 Maximum Government Contribution
Self]],ROUND(AC117*0.75,2)))</f>
        <v/>
      </c>
      <c r="AJ117" s="217" t="str">
        <f>IF(E117="","",MIN(Att1SmallCarriers[[#This Row],[ESTIMATED 2024 Maximum Government Contribution
Self+1]],ROUND(AD117*0.75,2)))</f>
        <v/>
      </c>
      <c r="AK117" s="217" t="str">
        <f>IF(E117="","",MIN(Att1SmallCarriers[[#This Row],[ESTIMATED 2024 Maximum Government Contribution
Family]],ROUND(AE117*0.75,2)))</f>
        <v/>
      </c>
      <c r="AL117" s="38" t="str">
        <f t="shared" si="50"/>
        <v/>
      </c>
      <c r="AM117" s="38" t="str">
        <f t="shared" si="51"/>
        <v/>
      </c>
      <c r="AN117" s="38" t="str">
        <f t="shared" si="52"/>
        <v/>
      </c>
      <c r="AO117" s="218" t="str">
        <f t="shared" si="41"/>
        <v/>
      </c>
      <c r="AP117" s="218" t="str">
        <f t="shared" si="42"/>
        <v/>
      </c>
      <c r="AQ117" s="218" t="str">
        <f t="shared" si="43"/>
        <v/>
      </c>
    </row>
    <row r="118" spans="5:43" ht="15.5" x14ac:dyDescent="0.35">
      <c r="E118" s="223"/>
      <c r="N118" s="40"/>
      <c r="O118" s="40"/>
      <c r="P118" s="40"/>
      <c r="Q118" s="39" t="str">
        <f t="shared" si="37"/>
        <v/>
      </c>
      <c r="R118" s="38" t="str">
        <f t="shared" si="38"/>
        <v/>
      </c>
      <c r="S118" s="38" t="str">
        <f t="shared" si="39"/>
        <v/>
      </c>
      <c r="T118" s="147">
        <v>259.72000000000003</v>
      </c>
      <c r="U118" s="147">
        <v>560.52</v>
      </c>
      <c r="V118" s="147">
        <v>611.41999999999996</v>
      </c>
      <c r="W118" s="38" t="str">
        <f t="shared" si="40"/>
        <v/>
      </c>
      <c r="X118" s="217" t="str">
        <f>IF(E118="","",IF(R118&gt;0,MIN(Att1SmallCarriers[[#This Row],[2023 Maximum Government Contribution
Self+1]],ROUND(R118*0.75,2)),"New Option"))</f>
        <v/>
      </c>
      <c r="Y118" s="217" t="str">
        <f>IF(E118="","",IF(S118&gt;0,MIN(Att1SmallCarriers[[#This Row],[2023 Maximum Government Contribution
Family]],ROUND(S118*0.75,2)),"New Option"))</f>
        <v/>
      </c>
      <c r="Z118" s="38" t="str">
        <f t="shared" si="44"/>
        <v/>
      </c>
      <c r="AA118" s="38" t="str">
        <f t="shared" si="45"/>
        <v/>
      </c>
      <c r="AB118" s="38" t="str">
        <f t="shared" si="46"/>
        <v/>
      </c>
      <c r="AC118" s="38" t="str">
        <f t="shared" si="47"/>
        <v/>
      </c>
      <c r="AD118" s="38" t="str">
        <f t="shared" si="48"/>
        <v/>
      </c>
      <c r="AE118" s="38" t="str">
        <f t="shared" si="49"/>
        <v/>
      </c>
      <c r="AF118" s="89">
        <f>ROUND(Att1SmallCarriers[[#This Row],[2023 Maximum Government Contribution
Self]]*(1+$B$14),2)</f>
        <v>259.72000000000003</v>
      </c>
      <c r="AG118" s="89">
        <f>ROUND(Att1SmallCarriers[[#This Row],[2023 Maximum Government Contribution
Self+1]]*(1+$B$14),2)</f>
        <v>560.52</v>
      </c>
      <c r="AH118" s="89">
        <f>ROUND(Att1SmallCarriers[[#This Row],[2023 Maximum Government Contribution
Family]]*(1+$B$14),2)</f>
        <v>611.41999999999996</v>
      </c>
      <c r="AI118" s="217" t="str">
        <f>IF(E118="","",MIN(Att1SmallCarriers[[#This Row],[ESTIMATED 2024 Maximum Government Contribution
Self]],ROUND(AC118*0.75,2)))</f>
        <v/>
      </c>
      <c r="AJ118" s="217" t="str">
        <f>IF(E118="","",MIN(Att1SmallCarriers[[#This Row],[ESTIMATED 2024 Maximum Government Contribution
Self+1]],ROUND(AD118*0.75,2)))</f>
        <v/>
      </c>
      <c r="AK118" s="217" t="str">
        <f>IF(E118="","",MIN(Att1SmallCarriers[[#This Row],[ESTIMATED 2024 Maximum Government Contribution
Family]],ROUND(AE118*0.75,2)))</f>
        <v/>
      </c>
      <c r="AL118" s="38" t="str">
        <f t="shared" si="50"/>
        <v/>
      </c>
      <c r="AM118" s="38" t="str">
        <f t="shared" si="51"/>
        <v/>
      </c>
      <c r="AN118" s="38" t="str">
        <f t="shared" si="52"/>
        <v/>
      </c>
      <c r="AO118" s="218" t="str">
        <f t="shared" si="41"/>
        <v/>
      </c>
      <c r="AP118" s="218" t="str">
        <f t="shared" si="42"/>
        <v/>
      </c>
      <c r="AQ118" s="218" t="str">
        <f t="shared" si="43"/>
        <v/>
      </c>
    </row>
    <row r="119" spans="5:43" ht="15.5" x14ac:dyDescent="0.35">
      <c r="E119" s="223"/>
      <c r="N119" s="40"/>
      <c r="O119" s="40"/>
      <c r="P119" s="40"/>
      <c r="Q119" s="39" t="str">
        <f t="shared" si="37"/>
        <v/>
      </c>
      <c r="R119" s="38" t="str">
        <f t="shared" si="38"/>
        <v/>
      </c>
      <c r="S119" s="38" t="str">
        <f t="shared" si="39"/>
        <v/>
      </c>
      <c r="T119" s="147">
        <v>259.72000000000003</v>
      </c>
      <c r="U119" s="147">
        <v>560.52</v>
      </c>
      <c r="V119" s="147">
        <v>611.41999999999996</v>
      </c>
      <c r="W119" s="38" t="str">
        <f t="shared" si="40"/>
        <v/>
      </c>
      <c r="X119" s="217" t="str">
        <f>IF(E119="","",IF(R119&gt;0,MIN(Att1SmallCarriers[[#This Row],[2023 Maximum Government Contribution
Self+1]],ROUND(R119*0.75,2)),"New Option"))</f>
        <v/>
      </c>
      <c r="Y119" s="217" t="str">
        <f>IF(E119="","",IF(S119&gt;0,MIN(Att1SmallCarriers[[#This Row],[2023 Maximum Government Contribution
Family]],ROUND(S119*0.75,2)),"New Option"))</f>
        <v/>
      </c>
      <c r="Z119" s="38" t="str">
        <f t="shared" si="44"/>
        <v/>
      </c>
      <c r="AA119" s="38" t="str">
        <f t="shared" si="45"/>
        <v/>
      </c>
      <c r="AB119" s="38" t="str">
        <f t="shared" si="46"/>
        <v/>
      </c>
      <c r="AC119" s="38" t="str">
        <f t="shared" si="47"/>
        <v/>
      </c>
      <c r="AD119" s="38" t="str">
        <f t="shared" si="48"/>
        <v/>
      </c>
      <c r="AE119" s="38" t="str">
        <f t="shared" si="49"/>
        <v/>
      </c>
      <c r="AF119" s="89">
        <f>ROUND(Att1SmallCarriers[[#This Row],[2023 Maximum Government Contribution
Self]]*(1+$B$14),2)</f>
        <v>259.72000000000003</v>
      </c>
      <c r="AG119" s="89">
        <f>ROUND(Att1SmallCarriers[[#This Row],[2023 Maximum Government Contribution
Self+1]]*(1+$B$14),2)</f>
        <v>560.52</v>
      </c>
      <c r="AH119" s="89">
        <f>ROUND(Att1SmallCarriers[[#This Row],[2023 Maximum Government Contribution
Family]]*(1+$B$14),2)</f>
        <v>611.41999999999996</v>
      </c>
      <c r="AI119" s="217" t="str">
        <f>IF(E119="","",MIN(Att1SmallCarriers[[#This Row],[ESTIMATED 2024 Maximum Government Contribution
Self]],ROUND(AC119*0.75,2)))</f>
        <v/>
      </c>
      <c r="AJ119" s="217" t="str">
        <f>IF(E119="","",MIN(Att1SmallCarriers[[#This Row],[ESTIMATED 2024 Maximum Government Contribution
Self+1]],ROUND(AD119*0.75,2)))</f>
        <v/>
      </c>
      <c r="AK119" s="217" t="str">
        <f>IF(E119="","",MIN(Att1SmallCarriers[[#This Row],[ESTIMATED 2024 Maximum Government Contribution
Family]],ROUND(AE119*0.75,2)))</f>
        <v/>
      </c>
      <c r="AL119" s="38" t="str">
        <f t="shared" si="50"/>
        <v/>
      </c>
      <c r="AM119" s="38" t="str">
        <f t="shared" si="51"/>
        <v/>
      </c>
      <c r="AN119" s="38" t="str">
        <f t="shared" si="52"/>
        <v/>
      </c>
      <c r="AO119" s="218" t="str">
        <f t="shared" si="41"/>
        <v/>
      </c>
      <c r="AP119" s="218" t="str">
        <f t="shared" si="42"/>
        <v/>
      </c>
      <c r="AQ119" s="218" t="str">
        <f t="shared" si="43"/>
        <v/>
      </c>
    </row>
    <row r="120" spans="5:43" ht="15.5" x14ac:dyDescent="0.35">
      <c r="E120" s="223"/>
      <c r="N120" s="40"/>
      <c r="O120" s="40"/>
      <c r="P120" s="40"/>
      <c r="Q120" s="39" t="str">
        <f t="shared" si="37"/>
        <v/>
      </c>
      <c r="R120" s="38" t="str">
        <f t="shared" si="38"/>
        <v/>
      </c>
      <c r="S120" s="38" t="str">
        <f t="shared" si="39"/>
        <v/>
      </c>
      <c r="T120" s="147">
        <v>259.72000000000003</v>
      </c>
      <c r="U120" s="147">
        <v>560.52</v>
      </c>
      <c r="V120" s="147">
        <v>611.41999999999996</v>
      </c>
      <c r="W120" s="38" t="str">
        <f t="shared" si="40"/>
        <v/>
      </c>
      <c r="X120" s="217" t="str">
        <f>IF(E120="","",IF(R120&gt;0,MIN(Att1SmallCarriers[[#This Row],[2023 Maximum Government Contribution
Self+1]],ROUND(R120*0.75,2)),"New Option"))</f>
        <v/>
      </c>
      <c r="Y120" s="217" t="str">
        <f>IF(E120="","",IF(S120&gt;0,MIN(Att1SmallCarriers[[#This Row],[2023 Maximum Government Contribution
Family]],ROUND(S120*0.75,2)),"New Option"))</f>
        <v/>
      </c>
      <c r="Z120" s="38" t="str">
        <f t="shared" si="44"/>
        <v/>
      </c>
      <c r="AA120" s="38" t="str">
        <f t="shared" si="45"/>
        <v/>
      </c>
      <c r="AB120" s="38" t="str">
        <f t="shared" si="46"/>
        <v/>
      </c>
      <c r="AC120" s="38" t="str">
        <f t="shared" si="47"/>
        <v/>
      </c>
      <c r="AD120" s="38" t="str">
        <f t="shared" si="48"/>
        <v/>
      </c>
      <c r="AE120" s="38" t="str">
        <f t="shared" si="49"/>
        <v/>
      </c>
      <c r="AF120" s="89">
        <f>ROUND(Att1SmallCarriers[[#This Row],[2023 Maximum Government Contribution
Self]]*(1+$B$14),2)</f>
        <v>259.72000000000003</v>
      </c>
      <c r="AG120" s="89">
        <f>ROUND(Att1SmallCarriers[[#This Row],[2023 Maximum Government Contribution
Self+1]]*(1+$B$14),2)</f>
        <v>560.52</v>
      </c>
      <c r="AH120" s="89">
        <f>ROUND(Att1SmallCarriers[[#This Row],[2023 Maximum Government Contribution
Family]]*(1+$B$14),2)</f>
        <v>611.41999999999996</v>
      </c>
      <c r="AI120" s="217" t="str">
        <f>IF(E120="","",MIN(Att1SmallCarriers[[#This Row],[ESTIMATED 2024 Maximum Government Contribution
Self]],ROUND(AC120*0.75,2)))</f>
        <v/>
      </c>
      <c r="AJ120" s="217" t="str">
        <f>IF(E120="","",MIN(Att1SmallCarriers[[#This Row],[ESTIMATED 2024 Maximum Government Contribution
Self+1]],ROUND(AD120*0.75,2)))</f>
        <v/>
      </c>
      <c r="AK120" s="217" t="str">
        <f>IF(E120="","",MIN(Att1SmallCarriers[[#This Row],[ESTIMATED 2024 Maximum Government Contribution
Family]],ROUND(AE120*0.75,2)))</f>
        <v/>
      </c>
      <c r="AL120" s="38" t="str">
        <f t="shared" si="50"/>
        <v/>
      </c>
      <c r="AM120" s="38" t="str">
        <f t="shared" si="51"/>
        <v/>
      </c>
      <c r="AN120" s="38" t="str">
        <f t="shared" si="52"/>
        <v/>
      </c>
      <c r="AO120" s="218" t="str">
        <f t="shared" si="41"/>
        <v/>
      </c>
      <c r="AP120" s="218" t="str">
        <f t="shared" si="42"/>
        <v/>
      </c>
      <c r="AQ120" s="218" t="str">
        <f t="shared" si="43"/>
        <v/>
      </c>
    </row>
    <row r="121" spans="5:43" ht="15.5" x14ac:dyDescent="0.35">
      <c r="E121" s="223"/>
      <c r="N121" s="40"/>
      <c r="O121" s="40"/>
      <c r="P121" s="40"/>
      <c r="Q121" s="39" t="str">
        <f t="shared" si="37"/>
        <v/>
      </c>
      <c r="R121" s="38" t="str">
        <f t="shared" si="38"/>
        <v/>
      </c>
      <c r="S121" s="38" t="str">
        <f t="shared" si="39"/>
        <v/>
      </c>
      <c r="T121" s="147">
        <v>259.72000000000003</v>
      </c>
      <c r="U121" s="147">
        <v>560.52</v>
      </c>
      <c r="V121" s="147">
        <v>611.41999999999996</v>
      </c>
      <c r="W121" s="38" t="str">
        <f t="shared" si="40"/>
        <v/>
      </c>
      <c r="X121" s="217" t="str">
        <f>IF(E121="","",IF(R121&gt;0,MIN(Att1SmallCarriers[[#This Row],[2023 Maximum Government Contribution
Self+1]],ROUND(R121*0.75,2)),"New Option"))</f>
        <v/>
      </c>
      <c r="Y121" s="217" t="str">
        <f>IF(E121="","",IF(S121&gt;0,MIN(Att1SmallCarriers[[#This Row],[2023 Maximum Government Contribution
Family]],ROUND(S121*0.75,2)),"New Option"))</f>
        <v/>
      </c>
      <c r="Z121" s="38" t="str">
        <f t="shared" si="44"/>
        <v/>
      </c>
      <c r="AA121" s="38" t="str">
        <f t="shared" si="45"/>
        <v/>
      </c>
      <c r="AB121" s="38" t="str">
        <f t="shared" si="46"/>
        <v/>
      </c>
      <c r="AC121" s="38" t="str">
        <f t="shared" si="47"/>
        <v/>
      </c>
      <c r="AD121" s="38" t="str">
        <f t="shared" si="48"/>
        <v/>
      </c>
      <c r="AE121" s="38" t="str">
        <f t="shared" si="49"/>
        <v/>
      </c>
      <c r="AF121" s="89">
        <f>ROUND(Att1SmallCarriers[[#This Row],[2023 Maximum Government Contribution
Self]]*(1+$B$14),2)</f>
        <v>259.72000000000003</v>
      </c>
      <c r="AG121" s="89">
        <f>ROUND(Att1SmallCarriers[[#This Row],[2023 Maximum Government Contribution
Self+1]]*(1+$B$14),2)</f>
        <v>560.52</v>
      </c>
      <c r="AH121" s="89">
        <f>ROUND(Att1SmallCarriers[[#This Row],[2023 Maximum Government Contribution
Family]]*(1+$B$14),2)</f>
        <v>611.41999999999996</v>
      </c>
      <c r="AI121" s="217" t="str">
        <f>IF(E121="","",MIN(Att1SmallCarriers[[#This Row],[ESTIMATED 2024 Maximum Government Contribution
Self]],ROUND(AC121*0.75,2)))</f>
        <v/>
      </c>
      <c r="AJ121" s="217" t="str">
        <f>IF(E121="","",MIN(Att1SmallCarriers[[#This Row],[ESTIMATED 2024 Maximum Government Contribution
Self+1]],ROUND(AD121*0.75,2)))</f>
        <v/>
      </c>
      <c r="AK121" s="217" t="str">
        <f>IF(E121="","",MIN(Att1SmallCarriers[[#This Row],[ESTIMATED 2024 Maximum Government Contribution
Family]],ROUND(AE121*0.75,2)))</f>
        <v/>
      </c>
      <c r="AL121" s="38" t="str">
        <f t="shared" si="50"/>
        <v/>
      </c>
      <c r="AM121" s="38" t="str">
        <f t="shared" si="51"/>
        <v/>
      </c>
      <c r="AN121" s="38" t="str">
        <f t="shared" si="52"/>
        <v/>
      </c>
      <c r="AO121" s="218" t="str">
        <f t="shared" si="41"/>
        <v/>
      </c>
      <c r="AP121" s="218" t="str">
        <f t="shared" si="42"/>
        <v/>
      </c>
      <c r="AQ121" s="218" t="str">
        <f t="shared" si="43"/>
        <v/>
      </c>
    </row>
    <row r="122" spans="5:43" ht="15.5" x14ac:dyDescent="0.35">
      <c r="E122" s="223"/>
      <c r="N122" s="40"/>
      <c r="O122" s="40"/>
      <c r="P122" s="40"/>
      <c r="Q122" s="39" t="str">
        <f t="shared" si="37"/>
        <v/>
      </c>
      <c r="R122" s="38" t="str">
        <f t="shared" si="38"/>
        <v/>
      </c>
      <c r="S122" s="38" t="str">
        <f t="shared" si="39"/>
        <v/>
      </c>
      <c r="T122" s="147">
        <v>259.72000000000003</v>
      </c>
      <c r="U122" s="147">
        <v>560.52</v>
      </c>
      <c r="V122" s="147">
        <v>611.41999999999996</v>
      </c>
      <c r="W122" s="38" t="str">
        <f t="shared" si="40"/>
        <v/>
      </c>
      <c r="X122" s="217" t="str">
        <f>IF(E122="","",IF(R122&gt;0,MIN(Att1SmallCarriers[[#This Row],[2023 Maximum Government Contribution
Self+1]],ROUND(R122*0.75,2)),"New Option"))</f>
        <v/>
      </c>
      <c r="Y122" s="217" t="str">
        <f>IF(E122="","",IF(S122&gt;0,MIN(Att1SmallCarriers[[#This Row],[2023 Maximum Government Contribution
Family]],ROUND(S122*0.75,2)),"New Option"))</f>
        <v/>
      </c>
      <c r="Z122" s="38" t="str">
        <f t="shared" si="44"/>
        <v/>
      </c>
      <c r="AA122" s="38" t="str">
        <f t="shared" si="45"/>
        <v/>
      </c>
      <c r="AB122" s="38" t="str">
        <f t="shared" si="46"/>
        <v/>
      </c>
      <c r="AC122" s="38" t="str">
        <f t="shared" si="47"/>
        <v/>
      </c>
      <c r="AD122" s="38" t="str">
        <f t="shared" si="48"/>
        <v/>
      </c>
      <c r="AE122" s="38" t="str">
        <f t="shared" si="49"/>
        <v/>
      </c>
      <c r="AF122" s="89">
        <f>ROUND(Att1SmallCarriers[[#This Row],[2023 Maximum Government Contribution
Self]]*(1+$B$14),2)</f>
        <v>259.72000000000003</v>
      </c>
      <c r="AG122" s="89">
        <f>ROUND(Att1SmallCarriers[[#This Row],[2023 Maximum Government Contribution
Self+1]]*(1+$B$14),2)</f>
        <v>560.52</v>
      </c>
      <c r="AH122" s="89">
        <f>ROUND(Att1SmallCarriers[[#This Row],[2023 Maximum Government Contribution
Family]]*(1+$B$14),2)</f>
        <v>611.41999999999996</v>
      </c>
      <c r="AI122" s="217" t="str">
        <f>IF(E122="","",MIN(Att1SmallCarriers[[#This Row],[ESTIMATED 2024 Maximum Government Contribution
Self]],ROUND(AC122*0.75,2)))</f>
        <v/>
      </c>
      <c r="AJ122" s="217" t="str">
        <f>IF(E122="","",MIN(Att1SmallCarriers[[#This Row],[ESTIMATED 2024 Maximum Government Contribution
Self+1]],ROUND(AD122*0.75,2)))</f>
        <v/>
      </c>
      <c r="AK122" s="217" t="str">
        <f>IF(E122="","",MIN(Att1SmallCarriers[[#This Row],[ESTIMATED 2024 Maximum Government Contribution
Family]],ROUND(AE122*0.75,2)))</f>
        <v/>
      </c>
      <c r="AL122" s="38" t="str">
        <f t="shared" si="50"/>
        <v/>
      </c>
      <c r="AM122" s="38" t="str">
        <f t="shared" si="51"/>
        <v/>
      </c>
      <c r="AN122" s="38" t="str">
        <f t="shared" si="52"/>
        <v/>
      </c>
      <c r="AO122" s="218" t="str">
        <f t="shared" si="41"/>
        <v/>
      </c>
      <c r="AP122" s="218" t="str">
        <f t="shared" si="42"/>
        <v/>
      </c>
      <c r="AQ122" s="218" t="str">
        <f t="shared" si="43"/>
        <v/>
      </c>
    </row>
    <row r="123" spans="5:43" ht="15.5" x14ac:dyDescent="0.35">
      <c r="E123" s="223"/>
      <c r="N123" s="40"/>
      <c r="O123" s="40"/>
      <c r="P123" s="40"/>
      <c r="Q123" s="39" t="str">
        <f t="shared" si="37"/>
        <v/>
      </c>
      <c r="R123" s="38" t="str">
        <f t="shared" si="38"/>
        <v/>
      </c>
      <c r="S123" s="38" t="str">
        <f t="shared" si="39"/>
        <v/>
      </c>
      <c r="T123" s="147">
        <v>259.72000000000003</v>
      </c>
      <c r="U123" s="147">
        <v>560.52</v>
      </c>
      <c r="V123" s="147">
        <v>611.41999999999996</v>
      </c>
      <c r="W123" s="38" t="str">
        <f t="shared" si="40"/>
        <v/>
      </c>
      <c r="X123" s="217" t="str">
        <f>IF(E123="","",IF(R123&gt;0,MIN(Att1SmallCarriers[[#This Row],[2023 Maximum Government Contribution
Self+1]],ROUND(R123*0.75,2)),"New Option"))</f>
        <v/>
      </c>
      <c r="Y123" s="217" t="str">
        <f>IF(E123="","",IF(S123&gt;0,MIN(Att1SmallCarriers[[#This Row],[2023 Maximum Government Contribution
Family]],ROUND(S123*0.75,2)),"New Option"))</f>
        <v/>
      </c>
      <c r="Z123" s="38" t="str">
        <f t="shared" si="44"/>
        <v/>
      </c>
      <c r="AA123" s="38" t="str">
        <f t="shared" si="45"/>
        <v/>
      </c>
      <c r="AB123" s="38" t="str">
        <f t="shared" si="46"/>
        <v/>
      </c>
      <c r="AC123" s="38" t="str">
        <f t="shared" si="47"/>
        <v/>
      </c>
      <c r="AD123" s="38" t="str">
        <f t="shared" si="48"/>
        <v/>
      </c>
      <c r="AE123" s="38" t="str">
        <f t="shared" si="49"/>
        <v/>
      </c>
      <c r="AF123" s="89">
        <f>ROUND(Att1SmallCarriers[[#This Row],[2023 Maximum Government Contribution
Self]]*(1+$B$14),2)</f>
        <v>259.72000000000003</v>
      </c>
      <c r="AG123" s="89">
        <f>ROUND(Att1SmallCarriers[[#This Row],[2023 Maximum Government Contribution
Self+1]]*(1+$B$14),2)</f>
        <v>560.52</v>
      </c>
      <c r="AH123" s="89">
        <f>ROUND(Att1SmallCarriers[[#This Row],[2023 Maximum Government Contribution
Family]]*(1+$B$14),2)</f>
        <v>611.41999999999996</v>
      </c>
      <c r="AI123" s="217" t="str">
        <f>IF(E123="","",MIN(Att1SmallCarriers[[#This Row],[ESTIMATED 2024 Maximum Government Contribution
Self]],ROUND(AC123*0.75,2)))</f>
        <v/>
      </c>
      <c r="AJ123" s="217" t="str">
        <f>IF(E123="","",MIN(Att1SmallCarriers[[#This Row],[ESTIMATED 2024 Maximum Government Contribution
Self+1]],ROUND(AD123*0.75,2)))</f>
        <v/>
      </c>
      <c r="AK123" s="217" t="str">
        <f>IF(E123="","",MIN(Att1SmallCarriers[[#This Row],[ESTIMATED 2024 Maximum Government Contribution
Family]],ROUND(AE123*0.75,2)))</f>
        <v/>
      </c>
      <c r="AL123" s="38" t="str">
        <f t="shared" si="50"/>
        <v/>
      </c>
      <c r="AM123" s="38" t="str">
        <f t="shared" si="51"/>
        <v/>
      </c>
      <c r="AN123" s="38" t="str">
        <f t="shared" si="52"/>
        <v/>
      </c>
      <c r="AO123" s="218" t="str">
        <f t="shared" si="41"/>
        <v/>
      </c>
      <c r="AP123" s="218" t="str">
        <f t="shared" si="42"/>
        <v/>
      </c>
      <c r="AQ123" s="218" t="str">
        <f t="shared" si="43"/>
        <v/>
      </c>
    </row>
    <row r="124" spans="5:43" ht="15.5" x14ac:dyDescent="0.35">
      <c r="E124" s="223"/>
      <c r="N124" s="40"/>
      <c r="O124" s="40"/>
      <c r="P124" s="40"/>
      <c r="Q124" s="39" t="str">
        <f t="shared" si="37"/>
        <v/>
      </c>
      <c r="R124" s="38" t="str">
        <f t="shared" si="38"/>
        <v/>
      </c>
      <c r="S124" s="38" t="str">
        <f t="shared" si="39"/>
        <v/>
      </c>
      <c r="T124" s="147">
        <v>259.72000000000003</v>
      </c>
      <c r="U124" s="147">
        <v>560.52</v>
      </c>
      <c r="V124" s="147">
        <v>611.41999999999996</v>
      </c>
      <c r="W124" s="38" t="str">
        <f t="shared" si="40"/>
        <v/>
      </c>
      <c r="X124" s="217" t="str">
        <f>IF(E124="","",IF(R124&gt;0,MIN(Att1SmallCarriers[[#This Row],[2023 Maximum Government Contribution
Self+1]],ROUND(R124*0.75,2)),"New Option"))</f>
        <v/>
      </c>
      <c r="Y124" s="217" t="str">
        <f>IF(E124="","",IF(S124&gt;0,MIN(Att1SmallCarriers[[#This Row],[2023 Maximum Government Contribution
Family]],ROUND(S124*0.75,2)),"New Option"))</f>
        <v/>
      </c>
      <c r="Z124" s="38" t="str">
        <f t="shared" si="44"/>
        <v/>
      </c>
      <c r="AA124" s="38" t="str">
        <f t="shared" si="45"/>
        <v/>
      </c>
      <c r="AB124" s="38" t="str">
        <f t="shared" si="46"/>
        <v/>
      </c>
      <c r="AC124" s="38" t="str">
        <f t="shared" si="47"/>
        <v/>
      </c>
      <c r="AD124" s="38" t="str">
        <f t="shared" si="48"/>
        <v/>
      </c>
      <c r="AE124" s="38" t="str">
        <f t="shared" si="49"/>
        <v/>
      </c>
      <c r="AF124" s="89">
        <f>ROUND(Att1SmallCarriers[[#This Row],[2023 Maximum Government Contribution
Self]]*(1+$B$14),2)</f>
        <v>259.72000000000003</v>
      </c>
      <c r="AG124" s="89">
        <f>ROUND(Att1SmallCarriers[[#This Row],[2023 Maximum Government Contribution
Self+1]]*(1+$B$14),2)</f>
        <v>560.52</v>
      </c>
      <c r="AH124" s="89">
        <f>ROUND(Att1SmallCarriers[[#This Row],[2023 Maximum Government Contribution
Family]]*(1+$B$14),2)</f>
        <v>611.41999999999996</v>
      </c>
      <c r="AI124" s="217" t="str">
        <f>IF(E124="","",MIN(Att1SmallCarriers[[#This Row],[ESTIMATED 2024 Maximum Government Contribution
Self]],ROUND(AC124*0.75,2)))</f>
        <v/>
      </c>
      <c r="AJ124" s="217" t="str">
        <f>IF(E124="","",MIN(Att1SmallCarriers[[#This Row],[ESTIMATED 2024 Maximum Government Contribution
Self+1]],ROUND(AD124*0.75,2)))</f>
        <v/>
      </c>
      <c r="AK124" s="217" t="str">
        <f>IF(E124="","",MIN(Att1SmallCarriers[[#This Row],[ESTIMATED 2024 Maximum Government Contribution
Family]],ROUND(AE124*0.75,2)))</f>
        <v/>
      </c>
      <c r="AL124" s="38" t="str">
        <f t="shared" si="50"/>
        <v/>
      </c>
      <c r="AM124" s="38" t="str">
        <f t="shared" si="51"/>
        <v/>
      </c>
      <c r="AN124" s="38" t="str">
        <f t="shared" si="52"/>
        <v/>
      </c>
      <c r="AO124" s="218" t="str">
        <f t="shared" si="41"/>
        <v/>
      </c>
      <c r="AP124" s="218" t="str">
        <f t="shared" si="42"/>
        <v/>
      </c>
      <c r="AQ124" s="218" t="str">
        <f t="shared" si="43"/>
        <v/>
      </c>
    </row>
    <row r="125" spans="5:43" ht="15.5" x14ac:dyDescent="0.35">
      <c r="E125" s="223"/>
      <c r="N125" s="40"/>
      <c r="O125" s="40"/>
      <c r="P125" s="40"/>
      <c r="Q125" s="39" t="str">
        <f t="shared" si="37"/>
        <v/>
      </c>
      <c r="R125" s="38" t="str">
        <f t="shared" si="38"/>
        <v/>
      </c>
      <c r="S125" s="38" t="str">
        <f t="shared" si="39"/>
        <v/>
      </c>
      <c r="T125" s="147">
        <v>259.72000000000003</v>
      </c>
      <c r="U125" s="147">
        <v>560.52</v>
      </c>
      <c r="V125" s="147">
        <v>611.41999999999996</v>
      </c>
      <c r="W125" s="38" t="str">
        <f t="shared" si="40"/>
        <v/>
      </c>
      <c r="X125" s="217" t="str">
        <f>IF(E125="","",IF(R125&gt;0,MIN(Att1SmallCarriers[[#This Row],[2023 Maximum Government Contribution
Self+1]],ROUND(R125*0.75,2)),"New Option"))</f>
        <v/>
      </c>
      <c r="Y125" s="217" t="str">
        <f>IF(E125="","",IF(S125&gt;0,MIN(Att1SmallCarriers[[#This Row],[2023 Maximum Government Contribution
Family]],ROUND(S125*0.75,2)),"New Option"))</f>
        <v/>
      </c>
      <c r="Z125" s="38" t="str">
        <f t="shared" si="44"/>
        <v/>
      </c>
      <c r="AA125" s="38" t="str">
        <f t="shared" si="45"/>
        <v/>
      </c>
      <c r="AB125" s="38" t="str">
        <f t="shared" si="46"/>
        <v/>
      </c>
      <c r="AC125" s="38" t="str">
        <f t="shared" si="47"/>
        <v/>
      </c>
      <c r="AD125" s="38" t="str">
        <f t="shared" si="48"/>
        <v/>
      </c>
      <c r="AE125" s="38" t="str">
        <f t="shared" si="49"/>
        <v/>
      </c>
      <c r="AF125" s="89">
        <f>ROUND(Att1SmallCarriers[[#This Row],[2023 Maximum Government Contribution
Self]]*(1+$B$14),2)</f>
        <v>259.72000000000003</v>
      </c>
      <c r="AG125" s="89">
        <f>ROUND(Att1SmallCarriers[[#This Row],[2023 Maximum Government Contribution
Self+1]]*(1+$B$14),2)</f>
        <v>560.52</v>
      </c>
      <c r="AH125" s="89">
        <f>ROUND(Att1SmallCarriers[[#This Row],[2023 Maximum Government Contribution
Family]]*(1+$B$14),2)</f>
        <v>611.41999999999996</v>
      </c>
      <c r="AI125" s="217" t="str">
        <f>IF(E125="","",MIN(Att1SmallCarriers[[#This Row],[ESTIMATED 2024 Maximum Government Contribution
Self]],ROUND(AC125*0.75,2)))</f>
        <v/>
      </c>
      <c r="AJ125" s="217" t="str">
        <f>IF(E125="","",MIN(Att1SmallCarriers[[#This Row],[ESTIMATED 2024 Maximum Government Contribution
Self+1]],ROUND(AD125*0.75,2)))</f>
        <v/>
      </c>
      <c r="AK125" s="217" t="str">
        <f>IF(E125="","",MIN(Att1SmallCarriers[[#This Row],[ESTIMATED 2024 Maximum Government Contribution
Family]],ROUND(AE125*0.75,2)))</f>
        <v/>
      </c>
      <c r="AL125" s="38" t="str">
        <f t="shared" si="50"/>
        <v/>
      </c>
      <c r="AM125" s="38" t="str">
        <f t="shared" si="51"/>
        <v/>
      </c>
      <c r="AN125" s="38" t="str">
        <f t="shared" si="52"/>
        <v/>
      </c>
      <c r="AO125" s="218" t="str">
        <f t="shared" si="41"/>
        <v/>
      </c>
      <c r="AP125" s="218" t="str">
        <f t="shared" si="42"/>
        <v/>
      </c>
      <c r="AQ125" s="218" t="str">
        <f t="shared" si="43"/>
        <v/>
      </c>
    </row>
    <row r="126" spans="5:43" ht="15.5" x14ac:dyDescent="0.35">
      <c r="E126" s="223"/>
      <c r="N126" s="40"/>
      <c r="O126" s="40"/>
      <c r="P126" s="40"/>
      <c r="Q126" s="39" t="str">
        <f t="shared" si="37"/>
        <v/>
      </c>
      <c r="R126" s="38" t="str">
        <f t="shared" si="38"/>
        <v/>
      </c>
      <c r="S126" s="38" t="str">
        <f t="shared" si="39"/>
        <v/>
      </c>
      <c r="T126" s="147">
        <v>259.72000000000003</v>
      </c>
      <c r="U126" s="147">
        <v>560.52</v>
      </c>
      <c r="V126" s="147">
        <v>611.41999999999996</v>
      </c>
      <c r="W126" s="38" t="str">
        <f t="shared" si="40"/>
        <v/>
      </c>
      <c r="X126" s="217" t="str">
        <f>IF(E126="","",IF(R126&gt;0,MIN(Att1SmallCarriers[[#This Row],[2023 Maximum Government Contribution
Self+1]],ROUND(R126*0.75,2)),"New Option"))</f>
        <v/>
      </c>
      <c r="Y126" s="217" t="str">
        <f>IF(E126="","",IF(S126&gt;0,MIN(Att1SmallCarriers[[#This Row],[2023 Maximum Government Contribution
Family]],ROUND(S126*0.75,2)),"New Option"))</f>
        <v/>
      </c>
      <c r="Z126" s="38" t="str">
        <f t="shared" si="44"/>
        <v/>
      </c>
      <c r="AA126" s="38" t="str">
        <f t="shared" si="45"/>
        <v/>
      </c>
      <c r="AB126" s="38" t="str">
        <f t="shared" si="46"/>
        <v/>
      </c>
      <c r="AC126" s="38" t="str">
        <f t="shared" si="47"/>
        <v/>
      </c>
      <c r="AD126" s="38" t="str">
        <f t="shared" si="48"/>
        <v/>
      </c>
      <c r="AE126" s="38" t="str">
        <f t="shared" si="49"/>
        <v/>
      </c>
      <c r="AF126" s="89">
        <f>ROUND(Att1SmallCarriers[[#This Row],[2023 Maximum Government Contribution
Self]]*(1+$B$14),2)</f>
        <v>259.72000000000003</v>
      </c>
      <c r="AG126" s="89">
        <f>ROUND(Att1SmallCarriers[[#This Row],[2023 Maximum Government Contribution
Self+1]]*(1+$B$14),2)</f>
        <v>560.52</v>
      </c>
      <c r="AH126" s="89">
        <f>ROUND(Att1SmallCarriers[[#This Row],[2023 Maximum Government Contribution
Family]]*(1+$B$14),2)</f>
        <v>611.41999999999996</v>
      </c>
      <c r="AI126" s="217" t="str">
        <f>IF(E126="","",MIN(Att1SmallCarriers[[#This Row],[ESTIMATED 2024 Maximum Government Contribution
Self]],ROUND(AC126*0.75,2)))</f>
        <v/>
      </c>
      <c r="AJ126" s="217" t="str">
        <f>IF(E126="","",MIN(Att1SmallCarriers[[#This Row],[ESTIMATED 2024 Maximum Government Contribution
Self+1]],ROUND(AD126*0.75,2)))</f>
        <v/>
      </c>
      <c r="AK126" s="217" t="str">
        <f>IF(E126="","",MIN(Att1SmallCarriers[[#This Row],[ESTIMATED 2024 Maximum Government Contribution
Family]],ROUND(AE126*0.75,2)))</f>
        <v/>
      </c>
      <c r="AL126" s="38" t="str">
        <f t="shared" si="50"/>
        <v/>
      </c>
      <c r="AM126" s="38" t="str">
        <f t="shared" si="51"/>
        <v/>
      </c>
      <c r="AN126" s="38" t="str">
        <f t="shared" si="52"/>
        <v/>
      </c>
      <c r="AO126" s="218" t="str">
        <f t="shared" si="41"/>
        <v/>
      </c>
      <c r="AP126" s="218" t="str">
        <f t="shared" si="42"/>
        <v/>
      </c>
      <c r="AQ126" s="218" t="str">
        <f t="shared" si="43"/>
        <v/>
      </c>
    </row>
    <row r="127" spans="5:43" ht="15.5" x14ac:dyDescent="0.35">
      <c r="E127" s="223"/>
      <c r="N127" s="40"/>
      <c r="O127" s="40"/>
      <c r="P127" s="40"/>
      <c r="Q127" s="39" t="str">
        <f t="shared" si="37"/>
        <v/>
      </c>
      <c r="R127" s="38" t="str">
        <f t="shared" si="38"/>
        <v/>
      </c>
      <c r="S127" s="38" t="str">
        <f t="shared" si="39"/>
        <v/>
      </c>
      <c r="T127" s="147">
        <v>259.72000000000003</v>
      </c>
      <c r="U127" s="147">
        <v>560.52</v>
      </c>
      <c r="V127" s="147">
        <v>611.41999999999996</v>
      </c>
      <c r="W127" s="38" t="str">
        <f t="shared" si="40"/>
        <v/>
      </c>
      <c r="X127" s="217" t="str">
        <f>IF(E127="","",IF(R127&gt;0,MIN(Att1SmallCarriers[[#This Row],[2023 Maximum Government Contribution
Self+1]],ROUND(R127*0.75,2)),"New Option"))</f>
        <v/>
      </c>
      <c r="Y127" s="217" t="str">
        <f>IF(E127="","",IF(S127&gt;0,MIN(Att1SmallCarriers[[#This Row],[2023 Maximum Government Contribution
Family]],ROUND(S127*0.75,2)),"New Option"))</f>
        <v/>
      </c>
      <c r="Z127" s="38" t="str">
        <f t="shared" si="44"/>
        <v/>
      </c>
      <c r="AA127" s="38" t="str">
        <f t="shared" si="45"/>
        <v/>
      </c>
      <c r="AB127" s="38" t="str">
        <f t="shared" si="46"/>
        <v/>
      </c>
      <c r="AC127" s="38" t="str">
        <f t="shared" si="47"/>
        <v/>
      </c>
      <c r="AD127" s="38" t="str">
        <f t="shared" si="48"/>
        <v/>
      </c>
      <c r="AE127" s="38" t="str">
        <f t="shared" si="49"/>
        <v/>
      </c>
      <c r="AF127" s="89">
        <f>ROUND(Att1SmallCarriers[[#This Row],[2023 Maximum Government Contribution
Self]]*(1+$B$14),2)</f>
        <v>259.72000000000003</v>
      </c>
      <c r="AG127" s="89">
        <f>ROUND(Att1SmallCarriers[[#This Row],[2023 Maximum Government Contribution
Self+1]]*(1+$B$14),2)</f>
        <v>560.52</v>
      </c>
      <c r="AH127" s="89">
        <f>ROUND(Att1SmallCarriers[[#This Row],[2023 Maximum Government Contribution
Family]]*(1+$B$14),2)</f>
        <v>611.41999999999996</v>
      </c>
      <c r="AI127" s="217" t="str">
        <f>IF(E127="","",MIN(Att1SmallCarriers[[#This Row],[ESTIMATED 2024 Maximum Government Contribution
Self]],ROUND(AC127*0.75,2)))</f>
        <v/>
      </c>
      <c r="AJ127" s="217" t="str">
        <f>IF(E127="","",MIN(Att1SmallCarriers[[#This Row],[ESTIMATED 2024 Maximum Government Contribution
Self+1]],ROUND(AD127*0.75,2)))</f>
        <v/>
      </c>
      <c r="AK127" s="217" t="str">
        <f>IF(E127="","",MIN(Att1SmallCarriers[[#This Row],[ESTIMATED 2024 Maximum Government Contribution
Family]],ROUND(AE127*0.75,2)))</f>
        <v/>
      </c>
      <c r="AL127" s="38" t="str">
        <f t="shared" si="50"/>
        <v/>
      </c>
      <c r="AM127" s="38" t="str">
        <f t="shared" si="51"/>
        <v/>
      </c>
      <c r="AN127" s="38" t="str">
        <f t="shared" si="52"/>
        <v/>
      </c>
      <c r="AO127" s="218" t="str">
        <f t="shared" si="41"/>
        <v/>
      </c>
      <c r="AP127" s="218" t="str">
        <f t="shared" si="42"/>
        <v/>
      </c>
      <c r="AQ127" s="218" t="str">
        <f t="shared" si="43"/>
        <v/>
      </c>
    </row>
    <row r="128" spans="5:43" ht="15.5" x14ac:dyDescent="0.35">
      <c r="E128" s="223"/>
      <c r="N128" s="40"/>
      <c r="O128" s="40"/>
      <c r="P128" s="40"/>
      <c r="Q128" s="39" t="str">
        <f t="shared" si="37"/>
        <v/>
      </c>
      <c r="R128" s="38" t="str">
        <f t="shared" si="38"/>
        <v/>
      </c>
      <c r="S128" s="38" t="str">
        <f t="shared" si="39"/>
        <v/>
      </c>
      <c r="T128" s="147">
        <v>259.72000000000003</v>
      </c>
      <c r="U128" s="147">
        <v>560.52</v>
      </c>
      <c r="V128" s="147">
        <v>611.41999999999996</v>
      </c>
      <c r="W128" s="38" t="str">
        <f t="shared" si="40"/>
        <v/>
      </c>
      <c r="X128" s="217" t="str">
        <f>IF(E128="","",IF(R128&gt;0,MIN(Att1SmallCarriers[[#This Row],[2023 Maximum Government Contribution
Self+1]],ROUND(R128*0.75,2)),"New Option"))</f>
        <v/>
      </c>
      <c r="Y128" s="217" t="str">
        <f>IF(E128="","",IF(S128&gt;0,MIN(Att1SmallCarriers[[#This Row],[2023 Maximum Government Contribution
Family]],ROUND(S128*0.75,2)),"New Option"))</f>
        <v/>
      </c>
      <c r="Z128" s="38" t="str">
        <f t="shared" si="44"/>
        <v/>
      </c>
      <c r="AA128" s="38" t="str">
        <f t="shared" si="45"/>
        <v/>
      </c>
      <c r="AB128" s="38" t="str">
        <f t="shared" si="46"/>
        <v/>
      </c>
      <c r="AC128" s="38" t="str">
        <f t="shared" si="47"/>
        <v/>
      </c>
      <c r="AD128" s="38" t="str">
        <f t="shared" si="48"/>
        <v/>
      </c>
      <c r="AE128" s="38" t="str">
        <f t="shared" si="49"/>
        <v/>
      </c>
      <c r="AF128" s="89">
        <f>ROUND(Att1SmallCarriers[[#This Row],[2023 Maximum Government Contribution
Self]]*(1+$B$14),2)</f>
        <v>259.72000000000003</v>
      </c>
      <c r="AG128" s="89">
        <f>ROUND(Att1SmallCarriers[[#This Row],[2023 Maximum Government Contribution
Self+1]]*(1+$B$14),2)</f>
        <v>560.52</v>
      </c>
      <c r="AH128" s="89">
        <f>ROUND(Att1SmallCarriers[[#This Row],[2023 Maximum Government Contribution
Family]]*(1+$B$14),2)</f>
        <v>611.41999999999996</v>
      </c>
      <c r="AI128" s="217" t="str">
        <f>IF(E128="","",MIN(Att1SmallCarriers[[#This Row],[ESTIMATED 2024 Maximum Government Contribution
Self]],ROUND(AC128*0.75,2)))</f>
        <v/>
      </c>
      <c r="AJ128" s="217" t="str">
        <f>IF(E128="","",MIN(Att1SmallCarriers[[#This Row],[ESTIMATED 2024 Maximum Government Contribution
Self+1]],ROUND(AD128*0.75,2)))</f>
        <v/>
      </c>
      <c r="AK128" s="217" t="str">
        <f>IF(E128="","",MIN(Att1SmallCarriers[[#This Row],[ESTIMATED 2024 Maximum Government Contribution
Family]],ROUND(AE128*0.75,2)))</f>
        <v/>
      </c>
      <c r="AL128" s="38" t="str">
        <f t="shared" si="50"/>
        <v/>
      </c>
      <c r="AM128" s="38" t="str">
        <f t="shared" si="51"/>
        <v/>
      </c>
      <c r="AN128" s="38" t="str">
        <f t="shared" si="52"/>
        <v/>
      </c>
      <c r="AO128" s="218" t="str">
        <f t="shared" si="41"/>
        <v/>
      </c>
      <c r="AP128" s="218" t="str">
        <f t="shared" si="42"/>
        <v/>
      </c>
      <c r="AQ128" s="218" t="str">
        <f t="shared" si="43"/>
        <v/>
      </c>
    </row>
    <row r="129" spans="5:43" ht="15.5" x14ac:dyDescent="0.35">
      <c r="E129" s="223"/>
      <c r="N129" s="40"/>
      <c r="O129" s="40"/>
      <c r="P129" s="40"/>
      <c r="Q129" s="39" t="str">
        <f t="shared" si="37"/>
        <v/>
      </c>
      <c r="R129" s="38" t="str">
        <f t="shared" si="38"/>
        <v/>
      </c>
      <c r="S129" s="38" t="str">
        <f t="shared" si="39"/>
        <v/>
      </c>
      <c r="T129" s="147">
        <v>259.72000000000003</v>
      </c>
      <c r="U129" s="147">
        <v>560.52</v>
      </c>
      <c r="V129" s="147">
        <v>611.41999999999996</v>
      </c>
      <c r="W129" s="38" t="str">
        <f t="shared" si="40"/>
        <v/>
      </c>
      <c r="X129" s="217" t="str">
        <f>IF(E129="","",IF(R129&gt;0,MIN(Att1SmallCarriers[[#This Row],[2023 Maximum Government Contribution
Self+1]],ROUND(R129*0.75,2)),"New Option"))</f>
        <v/>
      </c>
      <c r="Y129" s="217" t="str">
        <f>IF(E129="","",IF(S129&gt;0,MIN(Att1SmallCarriers[[#This Row],[2023 Maximum Government Contribution
Family]],ROUND(S129*0.75,2)),"New Option"))</f>
        <v/>
      </c>
      <c r="Z129" s="38" t="str">
        <f t="shared" si="44"/>
        <v/>
      </c>
      <c r="AA129" s="38" t="str">
        <f t="shared" si="45"/>
        <v/>
      </c>
      <c r="AB129" s="38" t="str">
        <f t="shared" si="46"/>
        <v/>
      </c>
      <c r="AC129" s="38" t="str">
        <f t="shared" si="47"/>
        <v/>
      </c>
      <c r="AD129" s="38" t="str">
        <f t="shared" si="48"/>
        <v/>
      </c>
      <c r="AE129" s="38" t="str">
        <f t="shared" si="49"/>
        <v/>
      </c>
      <c r="AF129" s="89">
        <f>ROUND(Att1SmallCarriers[[#This Row],[2023 Maximum Government Contribution
Self]]*(1+$B$14),2)</f>
        <v>259.72000000000003</v>
      </c>
      <c r="AG129" s="89">
        <f>ROUND(Att1SmallCarriers[[#This Row],[2023 Maximum Government Contribution
Self+1]]*(1+$B$14),2)</f>
        <v>560.52</v>
      </c>
      <c r="AH129" s="89">
        <f>ROUND(Att1SmallCarriers[[#This Row],[2023 Maximum Government Contribution
Family]]*(1+$B$14),2)</f>
        <v>611.41999999999996</v>
      </c>
      <c r="AI129" s="217" t="str">
        <f>IF(E129="","",MIN(Att1SmallCarriers[[#This Row],[ESTIMATED 2024 Maximum Government Contribution
Self]],ROUND(AC129*0.75,2)))</f>
        <v/>
      </c>
      <c r="AJ129" s="217" t="str">
        <f>IF(E129="","",MIN(Att1SmallCarriers[[#This Row],[ESTIMATED 2024 Maximum Government Contribution
Self+1]],ROUND(AD129*0.75,2)))</f>
        <v/>
      </c>
      <c r="AK129" s="217" t="str">
        <f>IF(E129="","",MIN(Att1SmallCarriers[[#This Row],[ESTIMATED 2024 Maximum Government Contribution
Family]],ROUND(AE129*0.75,2)))</f>
        <v/>
      </c>
      <c r="AL129" s="38" t="str">
        <f t="shared" si="50"/>
        <v/>
      </c>
      <c r="AM129" s="38" t="str">
        <f t="shared" si="51"/>
        <v/>
      </c>
      <c r="AN129" s="38" t="str">
        <f t="shared" si="52"/>
        <v/>
      </c>
      <c r="AO129" s="218" t="str">
        <f t="shared" si="41"/>
        <v/>
      </c>
      <c r="AP129" s="218" t="str">
        <f t="shared" si="42"/>
        <v/>
      </c>
      <c r="AQ129" s="218" t="str">
        <f t="shared" si="43"/>
        <v/>
      </c>
    </row>
    <row r="130" spans="5:43" ht="15.5" x14ac:dyDescent="0.35">
      <c r="E130" s="223"/>
      <c r="N130" s="40"/>
      <c r="O130" s="40"/>
      <c r="P130" s="40"/>
      <c r="Q130" s="39" t="str">
        <f t="shared" si="37"/>
        <v/>
      </c>
      <c r="R130" s="38" t="str">
        <f t="shared" si="38"/>
        <v/>
      </c>
      <c r="S130" s="38" t="str">
        <f t="shared" si="39"/>
        <v/>
      </c>
      <c r="T130" s="147">
        <v>259.72000000000003</v>
      </c>
      <c r="U130" s="147">
        <v>560.52</v>
      </c>
      <c r="V130" s="147">
        <v>611.41999999999996</v>
      </c>
      <c r="W130" s="38" t="str">
        <f t="shared" si="40"/>
        <v/>
      </c>
      <c r="X130" s="217" t="str">
        <f>IF(E130="","",IF(R130&gt;0,MIN(Att1SmallCarriers[[#This Row],[2023 Maximum Government Contribution
Self+1]],ROUND(R130*0.75,2)),"New Option"))</f>
        <v/>
      </c>
      <c r="Y130" s="217" t="str">
        <f>IF(E130="","",IF(S130&gt;0,MIN(Att1SmallCarriers[[#This Row],[2023 Maximum Government Contribution
Family]],ROUND(S130*0.75,2)),"New Option"))</f>
        <v/>
      </c>
      <c r="Z130" s="38" t="str">
        <f t="shared" si="44"/>
        <v/>
      </c>
      <c r="AA130" s="38" t="str">
        <f t="shared" si="45"/>
        <v/>
      </c>
      <c r="AB130" s="38" t="str">
        <f t="shared" si="46"/>
        <v/>
      </c>
      <c r="AC130" s="38" t="str">
        <f t="shared" si="47"/>
        <v/>
      </c>
      <c r="AD130" s="38" t="str">
        <f t="shared" si="48"/>
        <v/>
      </c>
      <c r="AE130" s="38" t="str">
        <f t="shared" si="49"/>
        <v/>
      </c>
      <c r="AF130" s="89">
        <f>ROUND(Att1SmallCarriers[[#This Row],[2023 Maximum Government Contribution
Self]]*(1+$B$14),2)</f>
        <v>259.72000000000003</v>
      </c>
      <c r="AG130" s="89">
        <f>ROUND(Att1SmallCarriers[[#This Row],[2023 Maximum Government Contribution
Self+1]]*(1+$B$14),2)</f>
        <v>560.52</v>
      </c>
      <c r="AH130" s="89">
        <f>ROUND(Att1SmallCarriers[[#This Row],[2023 Maximum Government Contribution
Family]]*(1+$B$14),2)</f>
        <v>611.41999999999996</v>
      </c>
      <c r="AI130" s="217" t="str">
        <f>IF(E130="","",MIN(Att1SmallCarriers[[#This Row],[ESTIMATED 2024 Maximum Government Contribution
Self]],ROUND(AC130*0.75,2)))</f>
        <v/>
      </c>
      <c r="AJ130" s="217" t="str">
        <f>IF(E130="","",MIN(Att1SmallCarriers[[#This Row],[ESTIMATED 2024 Maximum Government Contribution
Self+1]],ROUND(AD130*0.75,2)))</f>
        <v/>
      </c>
      <c r="AK130" s="217" t="str">
        <f>IF(E130="","",MIN(Att1SmallCarriers[[#This Row],[ESTIMATED 2024 Maximum Government Contribution
Family]],ROUND(AE130*0.75,2)))</f>
        <v/>
      </c>
      <c r="AL130" s="38" t="str">
        <f t="shared" si="50"/>
        <v/>
      </c>
      <c r="AM130" s="38" t="str">
        <f t="shared" si="51"/>
        <v/>
      </c>
      <c r="AN130" s="38" t="str">
        <f t="shared" si="52"/>
        <v/>
      </c>
      <c r="AO130" s="218" t="str">
        <f t="shared" si="41"/>
        <v/>
      </c>
      <c r="AP130" s="218" t="str">
        <f t="shared" si="42"/>
        <v/>
      </c>
      <c r="AQ130" s="218" t="str">
        <f t="shared" si="43"/>
        <v/>
      </c>
    </row>
    <row r="131" spans="5:43" ht="15.5" x14ac:dyDescent="0.35">
      <c r="E131" s="223"/>
      <c r="N131" s="40"/>
      <c r="O131" s="40"/>
      <c r="P131" s="40"/>
      <c r="Q131" s="39" t="str">
        <f t="shared" si="37"/>
        <v/>
      </c>
      <c r="R131" s="38" t="str">
        <f t="shared" si="38"/>
        <v/>
      </c>
      <c r="S131" s="38" t="str">
        <f t="shared" si="39"/>
        <v/>
      </c>
      <c r="T131" s="147">
        <v>259.72000000000003</v>
      </c>
      <c r="U131" s="147">
        <v>560.52</v>
      </c>
      <c r="V131" s="147">
        <v>611.41999999999996</v>
      </c>
      <c r="W131" s="38" t="str">
        <f t="shared" si="40"/>
        <v/>
      </c>
      <c r="X131" s="217" t="str">
        <f>IF(E131="","",IF(R131&gt;0,MIN(Att1SmallCarriers[[#This Row],[2023 Maximum Government Contribution
Self+1]],ROUND(R131*0.75,2)),"New Option"))</f>
        <v/>
      </c>
      <c r="Y131" s="217" t="str">
        <f>IF(E131="","",IF(S131&gt;0,MIN(Att1SmallCarriers[[#This Row],[2023 Maximum Government Contribution
Family]],ROUND(S131*0.75,2)),"New Option"))</f>
        <v/>
      </c>
      <c r="Z131" s="38" t="str">
        <f t="shared" si="44"/>
        <v/>
      </c>
      <c r="AA131" s="38" t="str">
        <f t="shared" si="45"/>
        <v/>
      </c>
      <c r="AB131" s="38" t="str">
        <f t="shared" si="46"/>
        <v/>
      </c>
      <c r="AC131" s="38" t="str">
        <f t="shared" si="47"/>
        <v/>
      </c>
      <c r="AD131" s="38" t="str">
        <f t="shared" si="48"/>
        <v/>
      </c>
      <c r="AE131" s="38" t="str">
        <f t="shared" si="49"/>
        <v/>
      </c>
      <c r="AF131" s="89">
        <f>ROUND(Att1SmallCarriers[[#This Row],[2023 Maximum Government Contribution
Self]]*(1+$B$14),2)</f>
        <v>259.72000000000003</v>
      </c>
      <c r="AG131" s="89">
        <f>ROUND(Att1SmallCarriers[[#This Row],[2023 Maximum Government Contribution
Self+1]]*(1+$B$14),2)</f>
        <v>560.52</v>
      </c>
      <c r="AH131" s="89">
        <f>ROUND(Att1SmallCarriers[[#This Row],[2023 Maximum Government Contribution
Family]]*(1+$B$14),2)</f>
        <v>611.41999999999996</v>
      </c>
      <c r="AI131" s="217" t="str">
        <f>IF(E131="","",MIN(Att1SmallCarriers[[#This Row],[ESTIMATED 2024 Maximum Government Contribution
Self]],ROUND(AC131*0.75,2)))</f>
        <v/>
      </c>
      <c r="AJ131" s="217" t="str">
        <f>IF(E131="","",MIN(Att1SmallCarriers[[#This Row],[ESTIMATED 2024 Maximum Government Contribution
Self+1]],ROUND(AD131*0.75,2)))</f>
        <v/>
      </c>
      <c r="AK131" s="217" t="str">
        <f>IF(E131="","",MIN(Att1SmallCarriers[[#This Row],[ESTIMATED 2024 Maximum Government Contribution
Family]],ROUND(AE131*0.75,2)))</f>
        <v/>
      </c>
      <c r="AL131" s="38" t="str">
        <f t="shared" si="50"/>
        <v/>
      </c>
      <c r="AM131" s="38" t="str">
        <f t="shared" si="51"/>
        <v/>
      </c>
      <c r="AN131" s="38" t="str">
        <f t="shared" si="52"/>
        <v/>
      </c>
      <c r="AO131" s="218" t="str">
        <f t="shared" si="41"/>
        <v/>
      </c>
      <c r="AP131" s="218" t="str">
        <f t="shared" si="42"/>
        <v/>
      </c>
      <c r="AQ131" s="218" t="str">
        <f t="shared" si="43"/>
        <v/>
      </c>
    </row>
    <row r="132" spans="5:43" ht="15.5" x14ac:dyDescent="0.35">
      <c r="E132" s="223"/>
      <c r="N132" s="40"/>
      <c r="O132" s="40"/>
      <c r="P132" s="40"/>
      <c r="Q132" s="39" t="str">
        <f t="shared" si="37"/>
        <v/>
      </c>
      <c r="R132" s="38" t="str">
        <f t="shared" si="38"/>
        <v/>
      </c>
      <c r="S132" s="38" t="str">
        <f t="shared" si="39"/>
        <v/>
      </c>
      <c r="T132" s="147">
        <v>259.72000000000003</v>
      </c>
      <c r="U132" s="147">
        <v>560.52</v>
      </c>
      <c r="V132" s="147">
        <v>611.41999999999996</v>
      </c>
      <c r="W132" s="38" t="str">
        <f t="shared" si="40"/>
        <v/>
      </c>
      <c r="X132" s="217" t="str">
        <f>IF(E132="","",IF(R132&gt;0,MIN(Att1SmallCarriers[[#This Row],[2023 Maximum Government Contribution
Self+1]],ROUND(R132*0.75,2)),"New Option"))</f>
        <v/>
      </c>
      <c r="Y132" s="217" t="str">
        <f>IF(E132="","",IF(S132&gt;0,MIN(Att1SmallCarriers[[#This Row],[2023 Maximum Government Contribution
Family]],ROUND(S132*0.75,2)),"New Option"))</f>
        <v/>
      </c>
      <c r="Z132" s="38" t="str">
        <f t="shared" si="44"/>
        <v/>
      </c>
      <c r="AA132" s="38" t="str">
        <f t="shared" si="45"/>
        <v/>
      </c>
      <c r="AB132" s="38" t="str">
        <f t="shared" si="46"/>
        <v/>
      </c>
      <c r="AC132" s="38" t="str">
        <f t="shared" si="47"/>
        <v/>
      </c>
      <c r="AD132" s="38" t="str">
        <f t="shared" si="48"/>
        <v/>
      </c>
      <c r="AE132" s="38" t="str">
        <f t="shared" si="49"/>
        <v/>
      </c>
      <c r="AF132" s="89">
        <f>ROUND(Att1SmallCarriers[[#This Row],[2023 Maximum Government Contribution
Self]]*(1+$B$14),2)</f>
        <v>259.72000000000003</v>
      </c>
      <c r="AG132" s="89">
        <f>ROUND(Att1SmallCarriers[[#This Row],[2023 Maximum Government Contribution
Self+1]]*(1+$B$14),2)</f>
        <v>560.52</v>
      </c>
      <c r="AH132" s="89">
        <f>ROUND(Att1SmallCarriers[[#This Row],[2023 Maximum Government Contribution
Family]]*(1+$B$14),2)</f>
        <v>611.41999999999996</v>
      </c>
      <c r="AI132" s="217" t="str">
        <f>IF(E132="","",MIN(Att1SmallCarriers[[#This Row],[ESTIMATED 2024 Maximum Government Contribution
Self]],ROUND(AC132*0.75,2)))</f>
        <v/>
      </c>
      <c r="AJ132" s="217" t="str">
        <f>IF(E132="","",MIN(Att1SmallCarriers[[#This Row],[ESTIMATED 2024 Maximum Government Contribution
Self+1]],ROUND(AD132*0.75,2)))</f>
        <v/>
      </c>
      <c r="AK132" s="217" t="str">
        <f>IF(E132="","",MIN(Att1SmallCarriers[[#This Row],[ESTIMATED 2024 Maximum Government Contribution
Family]],ROUND(AE132*0.75,2)))</f>
        <v/>
      </c>
      <c r="AL132" s="38" t="str">
        <f t="shared" si="50"/>
        <v/>
      </c>
      <c r="AM132" s="38" t="str">
        <f t="shared" si="51"/>
        <v/>
      </c>
      <c r="AN132" s="38" t="str">
        <f t="shared" si="52"/>
        <v/>
      </c>
      <c r="AO132" s="218" t="str">
        <f t="shared" si="41"/>
        <v/>
      </c>
      <c r="AP132" s="218" t="str">
        <f t="shared" si="42"/>
        <v/>
      </c>
      <c r="AQ132" s="218" t="str">
        <f t="shared" si="43"/>
        <v/>
      </c>
    </row>
    <row r="133" spans="5:43" ht="15.5" x14ac:dyDescent="0.35">
      <c r="E133" s="223"/>
      <c r="N133" s="40"/>
      <c r="O133" s="40"/>
      <c r="P133" s="40"/>
      <c r="Q133" s="39" t="str">
        <f t="shared" si="37"/>
        <v/>
      </c>
      <c r="R133" s="38" t="str">
        <f t="shared" si="38"/>
        <v/>
      </c>
      <c r="S133" s="38" t="str">
        <f t="shared" si="39"/>
        <v/>
      </c>
      <c r="T133" s="147">
        <v>259.72000000000003</v>
      </c>
      <c r="U133" s="147">
        <v>560.52</v>
      </c>
      <c r="V133" s="147">
        <v>611.41999999999996</v>
      </c>
      <c r="W133" s="38" t="str">
        <f t="shared" si="40"/>
        <v/>
      </c>
      <c r="X133" s="217" t="str">
        <f>IF(E133="","",IF(R133&gt;0,MIN(Att1SmallCarriers[[#This Row],[2023 Maximum Government Contribution
Self+1]],ROUND(R133*0.75,2)),"New Option"))</f>
        <v/>
      </c>
      <c r="Y133" s="217" t="str">
        <f>IF(E133="","",IF(S133&gt;0,MIN(Att1SmallCarriers[[#This Row],[2023 Maximum Government Contribution
Family]],ROUND(S133*0.75,2)),"New Option"))</f>
        <v/>
      </c>
      <c r="Z133" s="38" t="str">
        <f t="shared" si="44"/>
        <v/>
      </c>
      <c r="AA133" s="38" t="str">
        <f t="shared" si="45"/>
        <v/>
      </c>
      <c r="AB133" s="38" t="str">
        <f t="shared" si="46"/>
        <v/>
      </c>
      <c r="AC133" s="38" t="str">
        <f t="shared" si="47"/>
        <v/>
      </c>
      <c r="AD133" s="38" t="str">
        <f t="shared" si="48"/>
        <v/>
      </c>
      <c r="AE133" s="38" t="str">
        <f t="shared" si="49"/>
        <v/>
      </c>
      <c r="AF133" s="89">
        <f>ROUND(Att1SmallCarriers[[#This Row],[2023 Maximum Government Contribution
Self]]*(1+$B$14),2)</f>
        <v>259.72000000000003</v>
      </c>
      <c r="AG133" s="89">
        <f>ROUND(Att1SmallCarriers[[#This Row],[2023 Maximum Government Contribution
Self+1]]*(1+$B$14),2)</f>
        <v>560.52</v>
      </c>
      <c r="AH133" s="89">
        <f>ROUND(Att1SmallCarriers[[#This Row],[2023 Maximum Government Contribution
Family]]*(1+$B$14),2)</f>
        <v>611.41999999999996</v>
      </c>
      <c r="AI133" s="217" t="str">
        <f>IF(E133="","",MIN(Att1SmallCarriers[[#This Row],[ESTIMATED 2024 Maximum Government Contribution
Self]],ROUND(AC133*0.75,2)))</f>
        <v/>
      </c>
      <c r="AJ133" s="217" t="str">
        <f>IF(E133="","",MIN(Att1SmallCarriers[[#This Row],[ESTIMATED 2024 Maximum Government Contribution
Self+1]],ROUND(AD133*0.75,2)))</f>
        <v/>
      </c>
      <c r="AK133" s="217" t="str">
        <f>IF(E133="","",MIN(Att1SmallCarriers[[#This Row],[ESTIMATED 2024 Maximum Government Contribution
Family]],ROUND(AE133*0.75,2)))</f>
        <v/>
      </c>
      <c r="AL133" s="38" t="str">
        <f t="shared" si="50"/>
        <v/>
      </c>
      <c r="AM133" s="38" t="str">
        <f t="shared" si="51"/>
        <v/>
      </c>
      <c r="AN133" s="38" t="str">
        <f t="shared" si="52"/>
        <v/>
      </c>
      <c r="AO133" s="218" t="str">
        <f t="shared" si="41"/>
        <v/>
      </c>
      <c r="AP133" s="218" t="str">
        <f t="shared" si="42"/>
        <v/>
      </c>
      <c r="AQ133" s="218" t="str">
        <f t="shared" si="43"/>
        <v/>
      </c>
    </row>
    <row r="134" spans="5:43" ht="15.5" x14ac:dyDescent="0.35">
      <c r="E134" s="223"/>
      <c r="N134" s="40"/>
      <c r="O134" s="40"/>
      <c r="P134" s="40"/>
      <c r="Q134" s="39" t="str">
        <f t="shared" si="37"/>
        <v/>
      </c>
      <c r="R134" s="38" t="str">
        <f t="shared" si="38"/>
        <v/>
      </c>
      <c r="S134" s="38" t="str">
        <f t="shared" si="39"/>
        <v/>
      </c>
      <c r="T134" s="147">
        <v>259.72000000000003</v>
      </c>
      <c r="U134" s="147">
        <v>560.52</v>
      </c>
      <c r="V134" s="147">
        <v>611.41999999999996</v>
      </c>
      <c r="W134" s="38" t="str">
        <f t="shared" si="40"/>
        <v/>
      </c>
      <c r="X134" s="217" t="str">
        <f>IF(E134="","",IF(R134&gt;0,MIN(Att1SmallCarriers[[#This Row],[2023 Maximum Government Contribution
Self+1]],ROUND(R134*0.75,2)),"New Option"))</f>
        <v/>
      </c>
      <c r="Y134" s="217" t="str">
        <f>IF(E134="","",IF(S134&gt;0,MIN(Att1SmallCarriers[[#This Row],[2023 Maximum Government Contribution
Family]],ROUND(S134*0.75,2)),"New Option"))</f>
        <v/>
      </c>
      <c r="Z134" s="38" t="str">
        <f t="shared" si="44"/>
        <v/>
      </c>
      <c r="AA134" s="38" t="str">
        <f t="shared" si="45"/>
        <v/>
      </c>
      <c r="AB134" s="38" t="str">
        <f t="shared" si="46"/>
        <v/>
      </c>
      <c r="AC134" s="38" t="str">
        <f t="shared" si="47"/>
        <v/>
      </c>
      <c r="AD134" s="38" t="str">
        <f t="shared" si="48"/>
        <v/>
      </c>
      <c r="AE134" s="38" t="str">
        <f t="shared" si="49"/>
        <v/>
      </c>
      <c r="AF134" s="89">
        <f>ROUND(Att1SmallCarriers[[#This Row],[2023 Maximum Government Contribution
Self]]*(1+$B$14),2)</f>
        <v>259.72000000000003</v>
      </c>
      <c r="AG134" s="89">
        <f>ROUND(Att1SmallCarriers[[#This Row],[2023 Maximum Government Contribution
Self+1]]*(1+$B$14),2)</f>
        <v>560.52</v>
      </c>
      <c r="AH134" s="89">
        <f>ROUND(Att1SmallCarriers[[#This Row],[2023 Maximum Government Contribution
Family]]*(1+$B$14),2)</f>
        <v>611.41999999999996</v>
      </c>
      <c r="AI134" s="217" t="str">
        <f>IF(E134="","",MIN(Att1SmallCarriers[[#This Row],[ESTIMATED 2024 Maximum Government Contribution
Self]],ROUND(AC134*0.75,2)))</f>
        <v/>
      </c>
      <c r="AJ134" s="217" t="str">
        <f>IF(E134="","",MIN(Att1SmallCarriers[[#This Row],[ESTIMATED 2024 Maximum Government Contribution
Self+1]],ROUND(AD134*0.75,2)))</f>
        <v/>
      </c>
      <c r="AK134" s="217" t="str">
        <f>IF(E134="","",MIN(Att1SmallCarriers[[#This Row],[ESTIMATED 2024 Maximum Government Contribution
Family]],ROUND(AE134*0.75,2)))</f>
        <v/>
      </c>
      <c r="AL134" s="38" t="str">
        <f t="shared" si="50"/>
        <v/>
      </c>
      <c r="AM134" s="38" t="str">
        <f t="shared" si="51"/>
        <v/>
      </c>
      <c r="AN134" s="38" t="str">
        <f t="shared" si="52"/>
        <v/>
      </c>
      <c r="AO134" s="218" t="str">
        <f t="shared" si="41"/>
        <v/>
      </c>
      <c r="AP134" s="218" t="str">
        <f t="shared" si="42"/>
        <v/>
      </c>
      <c r="AQ134" s="218" t="str">
        <f t="shared" si="43"/>
        <v/>
      </c>
    </row>
    <row r="135" spans="5:43" ht="15.5" x14ac:dyDescent="0.35">
      <c r="E135" s="223"/>
      <c r="N135" s="40"/>
      <c r="O135" s="40"/>
      <c r="P135" s="40"/>
      <c r="Q135" s="39" t="str">
        <f t="shared" si="37"/>
        <v/>
      </c>
      <c r="R135" s="38" t="str">
        <f t="shared" si="38"/>
        <v/>
      </c>
      <c r="S135" s="38" t="str">
        <f t="shared" si="39"/>
        <v/>
      </c>
      <c r="T135" s="147">
        <v>259.72000000000003</v>
      </c>
      <c r="U135" s="147">
        <v>560.52</v>
      </c>
      <c r="V135" s="147">
        <v>611.41999999999996</v>
      </c>
      <c r="W135" s="38" t="str">
        <f t="shared" si="40"/>
        <v/>
      </c>
      <c r="X135" s="217" t="str">
        <f>IF(E135="","",IF(R135&gt;0,MIN(Att1SmallCarriers[[#This Row],[2023 Maximum Government Contribution
Self+1]],ROUND(R135*0.75,2)),"New Option"))</f>
        <v/>
      </c>
      <c r="Y135" s="217" t="str">
        <f>IF(E135="","",IF(S135&gt;0,MIN(Att1SmallCarriers[[#This Row],[2023 Maximum Government Contribution
Family]],ROUND(S135*0.75,2)),"New Option"))</f>
        <v/>
      </c>
      <c r="Z135" s="38" t="str">
        <f t="shared" si="44"/>
        <v/>
      </c>
      <c r="AA135" s="38" t="str">
        <f t="shared" si="45"/>
        <v/>
      </c>
      <c r="AB135" s="38" t="str">
        <f t="shared" si="46"/>
        <v/>
      </c>
      <c r="AC135" s="38" t="str">
        <f t="shared" si="47"/>
        <v/>
      </c>
      <c r="AD135" s="38" t="str">
        <f t="shared" si="48"/>
        <v/>
      </c>
      <c r="AE135" s="38" t="str">
        <f t="shared" si="49"/>
        <v/>
      </c>
      <c r="AF135" s="89">
        <f>ROUND(Att1SmallCarriers[[#This Row],[2023 Maximum Government Contribution
Self]]*(1+$B$14),2)</f>
        <v>259.72000000000003</v>
      </c>
      <c r="AG135" s="89">
        <f>ROUND(Att1SmallCarriers[[#This Row],[2023 Maximum Government Contribution
Self+1]]*(1+$B$14),2)</f>
        <v>560.52</v>
      </c>
      <c r="AH135" s="89">
        <f>ROUND(Att1SmallCarriers[[#This Row],[2023 Maximum Government Contribution
Family]]*(1+$B$14),2)</f>
        <v>611.41999999999996</v>
      </c>
      <c r="AI135" s="217" t="str">
        <f>IF(E135="","",MIN(Att1SmallCarriers[[#This Row],[ESTIMATED 2024 Maximum Government Contribution
Self]],ROUND(AC135*0.75,2)))</f>
        <v/>
      </c>
      <c r="AJ135" s="217" t="str">
        <f>IF(E135="","",MIN(Att1SmallCarriers[[#This Row],[ESTIMATED 2024 Maximum Government Contribution
Self+1]],ROUND(AD135*0.75,2)))</f>
        <v/>
      </c>
      <c r="AK135" s="217" t="str">
        <f>IF(E135="","",MIN(Att1SmallCarriers[[#This Row],[ESTIMATED 2024 Maximum Government Contribution
Family]],ROUND(AE135*0.75,2)))</f>
        <v/>
      </c>
      <c r="AL135" s="38" t="str">
        <f t="shared" si="50"/>
        <v/>
      </c>
      <c r="AM135" s="38" t="str">
        <f t="shared" si="51"/>
        <v/>
      </c>
      <c r="AN135" s="38" t="str">
        <f t="shared" si="52"/>
        <v/>
      </c>
      <c r="AO135" s="218" t="str">
        <f t="shared" si="41"/>
        <v/>
      </c>
      <c r="AP135" s="218" t="str">
        <f t="shared" si="42"/>
        <v/>
      </c>
      <c r="AQ135" s="218" t="str">
        <f t="shared" si="43"/>
        <v/>
      </c>
    </row>
    <row r="136" spans="5:43" ht="15.5" x14ac:dyDescent="0.35">
      <c r="E136" s="223"/>
      <c r="N136" s="40"/>
      <c r="O136" s="40"/>
      <c r="P136" s="40"/>
      <c r="Q136" s="39" t="str">
        <f t="shared" si="37"/>
        <v/>
      </c>
      <c r="R136" s="38" t="str">
        <f t="shared" si="38"/>
        <v/>
      </c>
      <c r="S136" s="38" t="str">
        <f t="shared" si="39"/>
        <v/>
      </c>
      <c r="T136" s="147">
        <v>259.72000000000003</v>
      </c>
      <c r="U136" s="147">
        <v>560.52</v>
      </c>
      <c r="V136" s="147">
        <v>611.41999999999996</v>
      </c>
      <c r="W136" s="38" t="str">
        <f t="shared" si="40"/>
        <v/>
      </c>
      <c r="X136" s="217" t="str">
        <f>IF(E136="","",IF(R136&gt;0,MIN(Att1SmallCarriers[[#This Row],[2023 Maximum Government Contribution
Self+1]],ROUND(R136*0.75,2)),"New Option"))</f>
        <v/>
      </c>
      <c r="Y136" s="217" t="str">
        <f>IF(E136="","",IF(S136&gt;0,MIN(Att1SmallCarriers[[#This Row],[2023 Maximum Government Contribution
Family]],ROUND(S136*0.75,2)),"New Option"))</f>
        <v/>
      </c>
      <c r="Z136" s="38" t="str">
        <f t="shared" si="44"/>
        <v/>
      </c>
      <c r="AA136" s="38" t="str">
        <f t="shared" si="45"/>
        <v/>
      </c>
      <c r="AB136" s="38" t="str">
        <f t="shared" si="46"/>
        <v/>
      </c>
      <c r="AC136" s="38" t="str">
        <f t="shared" si="47"/>
        <v/>
      </c>
      <c r="AD136" s="38" t="str">
        <f t="shared" si="48"/>
        <v/>
      </c>
      <c r="AE136" s="38" t="str">
        <f t="shared" si="49"/>
        <v/>
      </c>
      <c r="AF136" s="89">
        <f>ROUND(Att1SmallCarriers[[#This Row],[2023 Maximum Government Contribution
Self]]*(1+$B$14),2)</f>
        <v>259.72000000000003</v>
      </c>
      <c r="AG136" s="89">
        <f>ROUND(Att1SmallCarriers[[#This Row],[2023 Maximum Government Contribution
Self+1]]*(1+$B$14),2)</f>
        <v>560.52</v>
      </c>
      <c r="AH136" s="89">
        <f>ROUND(Att1SmallCarriers[[#This Row],[2023 Maximum Government Contribution
Family]]*(1+$B$14),2)</f>
        <v>611.41999999999996</v>
      </c>
      <c r="AI136" s="217" t="str">
        <f>IF(E136="","",MIN(Att1SmallCarriers[[#This Row],[ESTIMATED 2024 Maximum Government Contribution
Self]],ROUND(AC136*0.75,2)))</f>
        <v/>
      </c>
      <c r="AJ136" s="217" t="str">
        <f>IF(E136="","",MIN(Att1SmallCarriers[[#This Row],[ESTIMATED 2024 Maximum Government Contribution
Self+1]],ROUND(AD136*0.75,2)))</f>
        <v/>
      </c>
      <c r="AK136" s="217" t="str">
        <f>IF(E136="","",MIN(Att1SmallCarriers[[#This Row],[ESTIMATED 2024 Maximum Government Contribution
Family]],ROUND(AE136*0.75,2)))</f>
        <v/>
      </c>
      <c r="AL136" s="38" t="str">
        <f t="shared" si="50"/>
        <v/>
      </c>
      <c r="AM136" s="38" t="str">
        <f t="shared" si="51"/>
        <v/>
      </c>
      <c r="AN136" s="38" t="str">
        <f t="shared" si="52"/>
        <v/>
      </c>
      <c r="AO136" s="218" t="str">
        <f t="shared" si="41"/>
        <v/>
      </c>
      <c r="AP136" s="218" t="str">
        <f t="shared" si="42"/>
        <v/>
      </c>
      <c r="AQ136" s="218" t="str">
        <f t="shared" si="43"/>
        <v/>
      </c>
    </row>
    <row r="137" spans="5:43" ht="15.5" x14ac:dyDescent="0.35">
      <c r="E137" s="223"/>
      <c r="N137" s="40"/>
      <c r="O137" s="40"/>
      <c r="P137" s="40"/>
      <c r="Q137" s="39" t="str">
        <f t="shared" si="37"/>
        <v/>
      </c>
      <c r="R137" s="38" t="str">
        <f t="shared" si="38"/>
        <v/>
      </c>
      <c r="S137" s="38" t="str">
        <f t="shared" si="39"/>
        <v/>
      </c>
      <c r="T137" s="147">
        <v>259.72000000000003</v>
      </c>
      <c r="U137" s="147">
        <v>560.52</v>
      </c>
      <c r="V137" s="147">
        <v>611.41999999999996</v>
      </c>
      <c r="W137" s="38" t="str">
        <f t="shared" si="40"/>
        <v/>
      </c>
      <c r="X137" s="217" t="str">
        <f>IF(E137="","",IF(R137&gt;0,MIN(Att1SmallCarriers[[#This Row],[2023 Maximum Government Contribution
Self+1]],ROUND(R137*0.75,2)),"New Option"))</f>
        <v/>
      </c>
      <c r="Y137" s="217" t="str">
        <f>IF(E137="","",IF(S137&gt;0,MIN(Att1SmallCarriers[[#This Row],[2023 Maximum Government Contribution
Family]],ROUND(S137*0.75,2)),"New Option"))</f>
        <v/>
      </c>
      <c r="Z137" s="38" t="str">
        <f t="shared" si="44"/>
        <v/>
      </c>
      <c r="AA137" s="38" t="str">
        <f t="shared" si="45"/>
        <v/>
      </c>
      <c r="AB137" s="38" t="str">
        <f t="shared" si="46"/>
        <v/>
      </c>
      <c r="AC137" s="38" t="str">
        <f t="shared" si="47"/>
        <v/>
      </c>
      <c r="AD137" s="38" t="str">
        <f t="shared" si="48"/>
        <v/>
      </c>
      <c r="AE137" s="38" t="str">
        <f t="shared" si="49"/>
        <v/>
      </c>
      <c r="AF137" s="89">
        <f>ROUND(Att1SmallCarriers[[#This Row],[2023 Maximum Government Contribution
Self]]*(1+$B$14),2)</f>
        <v>259.72000000000003</v>
      </c>
      <c r="AG137" s="89">
        <f>ROUND(Att1SmallCarriers[[#This Row],[2023 Maximum Government Contribution
Self+1]]*(1+$B$14),2)</f>
        <v>560.52</v>
      </c>
      <c r="AH137" s="89">
        <f>ROUND(Att1SmallCarriers[[#This Row],[2023 Maximum Government Contribution
Family]]*(1+$B$14),2)</f>
        <v>611.41999999999996</v>
      </c>
      <c r="AI137" s="217" t="str">
        <f>IF(E137="","",MIN(Att1SmallCarriers[[#This Row],[ESTIMATED 2024 Maximum Government Contribution
Self]],ROUND(AC137*0.75,2)))</f>
        <v/>
      </c>
      <c r="AJ137" s="217" t="str">
        <f>IF(E137="","",MIN(Att1SmallCarriers[[#This Row],[ESTIMATED 2024 Maximum Government Contribution
Self+1]],ROUND(AD137*0.75,2)))</f>
        <v/>
      </c>
      <c r="AK137" s="217" t="str">
        <f>IF(E137="","",MIN(Att1SmallCarriers[[#This Row],[ESTIMATED 2024 Maximum Government Contribution
Family]],ROUND(AE137*0.75,2)))</f>
        <v/>
      </c>
      <c r="AL137" s="38" t="str">
        <f t="shared" si="50"/>
        <v/>
      </c>
      <c r="AM137" s="38" t="str">
        <f t="shared" si="51"/>
        <v/>
      </c>
      <c r="AN137" s="38" t="str">
        <f t="shared" si="52"/>
        <v/>
      </c>
      <c r="AO137" s="218" t="str">
        <f t="shared" si="41"/>
        <v/>
      </c>
      <c r="AP137" s="218" t="str">
        <f t="shared" si="42"/>
        <v/>
      </c>
      <c r="AQ137" s="218" t="str">
        <f t="shared" si="43"/>
        <v/>
      </c>
    </row>
    <row r="138" spans="5:43" ht="15.5" x14ac:dyDescent="0.35">
      <c r="E138" s="223"/>
      <c r="N138" s="40"/>
      <c r="O138" s="40"/>
      <c r="P138" s="40"/>
      <c r="Q138" s="39" t="str">
        <f t="shared" si="37"/>
        <v/>
      </c>
      <c r="R138" s="38" t="str">
        <f t="shared" si="38"/>
        <v/>
      </c>
      <c r="S138" s="38" t="str">
        <f t="shared" si="39"/>
        <v/>
      </c>
      <c r="T138" s="147">
        <v>259.72000000000003</v>
      </c>
      <c r="U138" s="147">
        <v>560.52</v>
      </c>
      <c r="V138" s="147">
        <v>611.41999999999996</v>
      </c>
      <c r="W138" s="38" t="str">
        <f t="shared" si="40"/>
        <v/>
      </c>
      <c r="X138" s="217" t="str">
        <f>IF(E138="","",IF(R138&gt;0,MIN(Att1SmallCarriers[[#This Row],[2023 Maximum Government Contribution
Self+1]],ROUND(R138*0.75,2)),"New Option"))</f>
        <v/>
      </c>
      <c r="Y138" s="217" t="str">
        <f>IF(E138="","",IF(S138&gt;0,MIN(Att1SmallCarriers[[#This Row],[2023 Maximum Government Contribution
Family]],ROUND(S138*0.75,2)),"New Option"))</f>
        <v/>
      </c>
      <c r="Z138" s="38" t="str">
        <f t="shared" si="44"/>
        <v/>
      </c>
      <c r="AA138" s="38" t="str">
        <f t="shared" si="45"/>
        <v/>
      </c>
      <c r="AB138" s="38" t="str">
        <f t="shared" si="46"/>
        <v/>
      </c>
      <c r="AC138" s="38" t="str">
        <f t="shared" si="47"/>
        <v/>
      </c>
      <c r="AD138" s="38" t="str">
        <f t="shared" si="48"/>
        <v/>
      </c>
      <c r="AE138" s="38" t="str">
        <f t="shared" si="49"/>
        <v/>
      </c>
      <c r="AF138" s="89">
        <f>ROUND(Att1SmallCarriers[[#This Row],[2023 Maximum Government Contribution
Self]]*(1+$B$14),2)</f>
        <v>259.72000000000003</v>
      </c>
      <c r="AG138" s="89">
        <f>ROUND(Att1SmallCarriers[[#This Row],[2023 Maximum Government Contribution
Self+1]]*(1+$B$14),2)</f>
        <v>560.52</v>
      </c>
      <c r="AH138" s="89">
        <f>ROUND(Att1SmallCarriers[[#This Row],[2023 Maximum Government Contribution
Family]]*(1+$B$14),2)</f>
        <v>611.41999999999996</v>
      </c>
      <c r="AI138" s="217" t="str">
        <f>IF(E138="","",MIN(Att1SmallCarriers[[#This Row],[ESTIMATED 2024 Maximum Government Contribution
Self]],ROUND(AC138*0.75,2)))</f>
        <v/>
      </c>
      <c r="AJ138" s="217" t="str">
        <f>IF(E138="","",MIN(Att1SmallCarriers[[#This Row],[ESTIMATED 2024 Maximum Government Contribution
Self+1]],ROUND(AD138*0.75,2)))</f>
        <v/>
      </c>
      <c r="AK138" s="217" t="str">
        <f>IF(E138="","",MIN(Att1SmallCarriers[[#This Row],[ESTIMATED 2024 Maximum Government Contribution
Family]],ROUND(AE138*0.75,2)))</f>
        <v/>
      </c>
      <c r="AL138" s="38" t="str">
        <f t="shared" si="50"/>
        <v/>
      </c>
      <c r="AM138" s="38" t="str">
        <f t="shared" si="51"/>
        <v/>
      </c>
      <c r="AN138" s="38" t="str">
        <f t="shared" si="52"/>
        <v/>
      </c>
      <c r="AO138" s="218" t="str">
        <f t="shared" si="41"/>
        <v/>
      </c>
      <c r="AP138" s="218" t="str">
        <f t="shared" si="42"/>
        <v/>
      </c>
      <c r="AQ138" s="218" t="str">
        <f t="shared" si="43"/>
        <v/>
      </c>
    </row>
    <row r="139" spans="5:43" ht="15.5" x14ac:dyDescent="0.35">
      <c r="E139" s="223"/>
      <c r="N139" s="40"/>
      <c r="O139" s="40"/>
      <c r="P139" s="40"/>
      <c r="Q139" s="39" t="str">
        <f t="shared" si="37"/>
        <v/>
      </c>
      <c r="R139" s="38" t="str">
        <f t="shared" si="38"/>
        <v/>
      </c>
      <c r="S139" s="38" t="str">
        <f t="shared" si="39"/>
        <v/>
      </c>
      <c r="T139" s="147">
        <v>259.72000000000003</v>
      </c>
      <c r="U139" s="147">
        <v>560.52</v>
      </c>
      <c r="V139" s="147">
        <v>611.41999999999996</v>
      </c>
      <c r="W139" s="38" t="str">
        <f t="shared" si="40"/>
        <v/>
      </c>
      <c r="X139" s="217" t="str">
        <f>IF(E139="","",IF(R139&gt;0,MIN(Att1SmallCarriers[[#This Row],[2023 Maximum Government Contribution
Self+1]],ROUND(R139*0.75,2)),"New Option"))</f>
        <v/>
      </c>
      <c r="Y139" s="217" t="str">
        <f>IF(E139="","",IF(S139&gt;0,MIN(Att1SmallCarriers[[#This Row],[2023 Maximum Government Contribution
Family]],ROUND(S139*0.75,2)),"New Option"))</f>
        <v/>
      </c>
      <c r="Z139" s="38" t="str">
        <f t="shared" si="44"/>
        <v/>
      </c>
      <c r="AA139" s="38" t="str">
        <f t="shared" si="45"/>
        <v/>
      </c>
      <c r="AB139" s="38" t="str">
        <f t="shared" si="46"/>
        <v/>
      </c>
      <c r="AC139" s="38" t="str">
        <f t="shared" si="47"/>
        <v/>
      </c>
      <c r="AD139" s="38" t="str">
        <f t="shared" si="48"/>
        <v/>
      </c>
      <c r="AE139" s="38" t="str">
        <f t="shared" si="49"/>
        <v/>
      </c>
      <c r="AF139" s="89">
        <f>ROUND(Att1SmallCarriers[[#This Row],[2023 Maximum Government Contribution
Self]]*(1+$B$14),2)</f>
        <v>259.72000000000003</v>
      </c>
      <c r="AG139" s="89">
        <f>ROUND(Att1SmallCarriers[[#This Row],[2023 Maximum Government Contribution
Self+1]]*(1+$B$14),2)</f>
        <v>560.52</v>
      </c>
      <c r="AH139" s="89">
        <f>ROUND(Att1SmallCarriers[[#This Row],[2023 Maximum Government Contribution
Family]]*(1+$B$14),2)</f>
        <v>611.41999999999996</v>
      </c>
      <c r="AI139" s="217" t="str">
        <f>IF(E139="","",MIN(Att1SmallCarriers[[#This Row],[ESTIMATED 2024 Maximum Government Contribution
Self]],ROUND(AC139*0.75,2)))</f>
        <v/>
      </c>
      <c r="AJ139" s="217" t="str">
        <f>IF(E139="","",MIN(Att1SmallCarriers[[#This Row],[ESTIMATED 2024 Maximum Government Contribution
Self+1]],ROUND(AD139*0.75,2)))</f>
        <v/>
      </c>
      <c r="AK139" s="217" t="str">
        <f>IF(E139="","",MIN(Att1SmallCarriers[[#This Row],[ESTIMATED 2024 Maximum Government Contribution
Family]],ROUND(AE139*0.75,2)))</f>
        <v/>
      </c>
      <c r="AL139" s="38" t="str">
        <f t="shared" si="50"/>
        <v/>
      </c>
      <c r="AM139" s="38" t="str">
        <f t="shared" si="51"/>
        <v/>
      </c>
      <c r="AN139" s="38" t="str">
        <f t="shared" si="52"/>
        <v/>
      </c>
      <c r="AO139" s="218" t="str">
        <f t="shared" si="41"/>
        <v/>
      </c>
      <c r="AP139" s="218" t="str">
        <f t="shared" si="42"/>
        <v/>
      </c>
      <c r="AQ139" s="218" t="str">
        <f t="shared" si="43"/>
        <v/>
      </c>
    </row>
    <row r="140" spans="5:43" ht="15.5" x14ac:dyDescent="0.35">
      <c r="E140" s="223"/>
      <c r="N140" s="40"/>
      <c r="O140" s="40"/>
      <c r="P140" s="40"/>
      <c r="Q140" s="39" t="str">
        <f t="shared" si="37"/>
        <v/>
      </c>
      <c r="R140" s="38" t="str">
        <f t="shared" si="38"/>
        <v/>
      </c>
      <c r="S140" s="38" t="str">
        <f t="shared" si="39"/>
        <v/>
      </c>
      <c r="T140" s="147">
        <v>259.72000000000003</v>
      </c>
      <c r="U140" s="147">
        <v>560.52</v>
      </c>
      <c r="V140" s="147">
        <v>611.41999999999996</v>
      </c>
      <c r="W140" s="38" t="str">
        <f t="shared" si="40"/>
        <v/>
      </c>
      <c r="X140" s="217" t="str">
        <f>IF(E140="","",IF(R140&gt;0,MIN(Att1SmallCarriers[[#This Row],[2023 Maximum Government Contribution
Self+1]],ROUND(R140*0.75,2)),"New Option"))</f>
        <v/>
      </c>
      <c r="Y140" s="217" t="str">
        <f>IF(E140="","",IF(S140&gt;0,MIN(Att1SmallCarriers[[#This Row],[2023 Maximum Government Contribution
Family]],ROUND(S140*0.75,2)),"New Option"))</f>
        <v/>
      </c>
      <c r="Z140" s="38" t="str">
        <f t="shared" si="44"/>
        <v/>
      </c>
      <c r="AA140" s="38" t="str">
        <f t="shared" si="45"/>
        <v/>
      </c>
      <c r="AB140" s="38" t="str">
        <f t="shared" si="46"/>
        <v/>
      </c>
      <c r="AC140" s="38" t="str">
        <f t="shared" si="47"/>
        <v/>
      </c>
      <c r="AD140" s="38" t="str">
        <f t="shared" si="48"/>
        <v/>
      </c>
      <c r="AE140" s="38" t="str">
        <f t="shared" si="49"/>
        <v/>
      </c>
      <c r="AF140" s="89">
        <f>ROUND(Att1SmallCarriers[[#This Row],[2023 Maximum Government Contribution
Self]]*(1+$B$14),2)</f>
        <v>259.72000000000003</v>
      </c>
      <c r="AG140" s="89">
        <f>ROUND(Att1SmallCarriers[[#This Row],[2023 Maximum Government Contribution
Self+1]]*(1+$B$14),2)</f>
        <v>560.52</v>
      </c>
      <c r="AH140" s="89">
        <f>ROUND(Att1SmallCarriers[[#This Row],[2023 Maximum Government Contribution
Family]]*(1+$B$14),2)</f>
        <v>611.41999999999996</v>
      </c>
      <c r="AI140" s="217" t="str">
        <f>IF(E140="","",MIN(Att1SmallCarriers[[#This Row],[ESTIMATED 2024 Maximum Government Contribution
Self]],ROUND(AC140*0.75,2)))</f>
        <v/>
      </c>
      <c r="AJ140" s="217" t="str">
        <f>IF(E140="","",MIN(Att1SmallCarriers[[#This Row],[ESTIMATED 2024 Maximum Government Contribution
Self+1]],ROUND(AD140*0.75,2)))</f>
        <v/>
      </c>
      <c r="AK140" s="217" t="str">
        <f>IF(E140="","",MIN(Att1SmallCarriers[[#This Row],[ESTIMATED 2024 Maximum Government Contribution
Family]],ROUND(AE140*0.75,2)))</f>
        <v/>
      </c>
      <c r="AL140" s="38" t="str">
        <f t="shared" si="50"/>
        <v/>
      </c>
      <c r="AM140" s="38" t="str">
        <f t="shared" si="51"/>
        <v/>
      </c>
      <c r="AN140" s="38" t="str">
        <f t="shared" si="52"/>
        <v/>
      </c>
      <c r="AO140" s="218" t="str">
        <f t="shared" si="41"/>
        <v/>
      </c>
      <c r="AP140" s="218" t="str">
        <f t="shared" si="42"/>
        <v/>
      </c>
      <c r="AQ140" s="218" t="str">
        <f t="shared" si="43"/>
        <v/>
      </c>
    </row>
    <row r="141" spans="5:43" ht="15.5" x14ac:dyDescent="0.35">
      <c r="E141" s="223"/>
      <c r="N141" s="40"/>
      <c r="O141" s="40"/>
      <c r="P141" s="40"/>
      <c r="Q141" s="39" t="str">
        <f t="shared" si="37"/>
        <v/>
      </c>
      <c r="R141" s="38" t="str">
        <f t="shared" si="38"/>
        <v/>
      </c>
      <c r="S141" s="38" t="str">
        <f t="shared" si="39"/>
        <v/>
      </c>
      <c r="T141" s="147">
        <v>259.72000000000003</v>
      </c>
      <c r="U141" s="147">
        <v>560.52</v>
      </c>
      <c r="V141" s="147">
        <v>611.41999999999996</v>
      </c>
      <c r="W141" s="38" t="str">
        <f t="shared" si="40"/>
        <v/>
      </c>
      <c r="X141" s="217" t="str">
        <f>IF(E141="","",IF(R141&gt;0,MIN(Att1SmallCarriers[[#This Row],[2023 Maximum Government Contribution
Self+1]],ROUND(R141*0.75,2)),"New Option"))</f>
        <v/>
      </c>
      <c r="Y141" s="217" t="str">
        <f>IF(E141="","",IF(S141&gt;0,MIN(Att1SmallCarriers[[#This Row],[2023 Maximum Government Contribution
Family]],ROUND(S141*0.75,2)),"New Option"))</f>
        <v/>
      </c>
      <c r="Z141" s="38" t="str">
        <f t="shared" si="44"/>
        <v/>
      </c>
      <c r="AA141" s="38" t="str">
        <f t="shared" si="45"/>
        <v/>
      </c>
      <c r="AB141" s="38" t="str">
        <f t="shared" si="46"/>
        <v/>
      </c>
      <c r="AC141" s="38" t="str">
        <f t="shared" si="47"/>
        <v/>
      </c>
      <c r="AD141" s="38" t="str">
        <f t="shared" si="48"/>
        <v/>
      </c>
      <c r="AE141" s="38" t="str">
        <f t="shared" si="49"/>
        <v/>
      </c>
      <c r="AF141" s="89">
        <f>ROUND(Att1SmallCarriers[[#This Row],[2023 Maximum Government Contribution
Self]]*(1+$B$14),2)</f>
        <v>259.72000000000003</v>
      </c>
      <c r="AG141" s="89">
        <f>ROUND(Att1SmallCarriers[[#This Row],[2023 Maximum Government Contribution
Self+1]]*(1+$B$14),2)</f>
        <v>560.52</v>
      </c>
      <c r="AH141" s="89">
        <f>ROUND(Att1SmallCarriers[[#This Row],[2023 Maximum Government Contribution
Family]]*(1+$B$14),2)</f>
        <v>611.41999999999996</v>
      </c>
      <c r="AI141" s="217" t="str">
        <f>IF(E141="","",MIN(Att1SmallCarriers[[#This Row],[ESTIMATED 2024 Maximum Government Contribution
Self]],ROUND(AC141*0.75,2)))</f>
        <v/>
      </c>
      <c r="AJ141" s="217" t="str">
        <f>IF(E141="","",MIN(Att1SmallCarriers[[#This Row],[ESTIMATED 2024 Maximum Government Contribution
Self+1]],ROUND(AD141*0.75,2)))</f>
        <v/>
      </c>
      <c r="AK141" s="217" t="str">
        <f>IF(E141="","",MIN(Att1SmallCarriers[[#This Row],[ESTIMATED 2024 Maximum Government Contribution
Family]],ROUND(AE141*0.75,2)))</f>
        <v/>
      </c>
      <c r="AL141" s="38" t="str">
        <f t="shared" si="50"/>
        <v/>
      </c>
      <c r="AM141" s="38" t="str">
        <f t="shared" si="51"/>
        <v/>
      </c>
      <c r="AN141" s="38" t="str">
        <f t="shared" si="52"/>
        <v/>
      </c>
      <c r="AO141" s="218" t="str">
        <f t="shared" si="41"/>
        <v/>
      </c>
      <c r="AP141" s="218" t="str">
        <f t="shared" si="42"/>
        <v/>
      </c>
      <c r="AQ141" s="218" t="str">
        <f t="shared" si="43"/>
        <v/>
      </c>
    </row>
    <row r="142" spans="5:43" ht="15.5" x14ac:dyDescent="0.35">
      <c r="E142" s="223"/>
      <c r="N142" s="40"/>
      <c r="O142" s="40"/>
      <c r="P142" s="40"/>
      <c r="Q142" s="39" t="str">
        <f t="shared" si="37"/>
        <v/>
      </c>
      <c r="R142" s="38" t="str">
        <f t="shared" si="38"/>
        <v/>
      </c>
      <c r="S142" s="38" t="str">
        <f t="shared" si="39"/>
        <v/>
      </c>
      <c r="T142" s="147">
        <v>259.72000000000003</v>
      </c>
      <c r="U142" s="147">
        <v>560.52</v>
      </c>
      <c r="V142" s="147">
        <v>611.41999999999996</v>
      </c>
      <c r="W142" s="38" t="str">
        <f t="shared" si="40"/>
        <v/>
      </c>
      <c r="X142" s="217" t="str">
        <f>IF(E142="","",IF(R142&gt;0,MIN(Att1SmallCarriers[[#This Row],[2023 Maximum Government Contribution
Self+1]],ROUND(R142*0.75,2)),"New Option"))</f>
        <v/>
      </c>
      <c r="Y142" s="217" t="str">
        <f>IF(E142="","",IF(S142&gt;0,MIN(Att1SmallCarriers[[#This Row],[2023 Maximum Government Contribution
Family]],ROUND(S142*0.75,2)),"New Option"))</f>
        <v/>
      </c>
      <c r="Z142" s="38" t="str">
        <f t="shared" si="44"/>
        <v/>
      </c>
      <c r="AA142" s="38" t="str">
        <f t="shared" si="45"/>
        <v/>
      </c>
      <c r="AB142" s="38" t="str">
        <f t="shared" si="46"/>
        <v/>
      </c>
      <c r="AC142" s="38" t="str">
        <f t="shared" si="47"/>
        <v/>
      </c>
      <c r="AD142" s="38" t="str">
        <f t="shared" si="48"/>
        <v/>
      </c>
      <c r="AE142" s="38" t="str">
        <f t="shared" si="49"/>
        <v/>
      </c>
      <c r="AF142" s="89">
        <f>ROUND(Att1SmallCarriers[[#This Row],[2023 Maximum Government Contribution
Self]]*(1+$B$14),2)</f>
        <v>259.72000000000003</v>
      </c>
      <c r="AG142" s="89">
        <f>ROUND(Att1SmallCarriers[[#This Row],[2023 Maximum Government Contribution
Self+1]]*(1+$B$14),2)</f>
        <v>560.52</v>
      </c>
      <c r="AH142" s="89">
        <f>ROUND(Att1SmallCarriers[[#This Row],[2023 Maximum Government Contribution
Family]]*(1+$B$14),2)</f>
        <v>611.41999999999996</v>
      </c>
      <c r="AI142" s="217" t="str">
        <f>IF(E142="","",MIN(Att1SmallCarriers[[#This Row],[ESTIMATED 2024 Maximum Government Contribution
Self]],ROUND(AC142*0.75,2)))</f>
        <v/>
      </c>
      <c r="AJ142" s="217" t="str">
        <f>IF(E142="","",MIN(Att1SmallCarriers[[#This Row],[ESTIMATED 2024 Maximum Government Contribution
Self+1]],ROUND(AD142*0.75,2)))</f>
        <v/>
      </c>
      <c r="AK142" s="217" t="str">
        <f>IF(E142="","",MIN(Att1SmallCarriers[[#This Row],[ESTIMATED 2024 Maximum Government Contribution
Family]],ROUND(AE142*0.75,2)))</f>
        <v/>
      </c>
      <c r="AL142" s="38" t="str">
        <f t="shared" si="50"/>
        <v/>
      </c>
      <c r="AM142" s="38" t="str">
        <f t="shared" si="51"/>
        <v/>
      </c>
      <c r="AN142" s="38" t="str">
        <f t="shared" si="52"/>
        <v/>
      </c>
      <c r="AO142" s="218" t="str">
        <f t="shared" si="41"/>
        <v/>
      </c>
      <c r="AP142" s="218" t="str">
        <f t="shared" si="42"/>
        <v/>
      </c>
      <c r="AQ142" s="218" t="str">
        <f t="shared" si="43"/>
        <v/>
      </c>
    </row>
    <row r="143" spans="5:43" ht="15.5" x14ac:dyDescent="0.35">
      <c r="E143" s="223"/>
      <c r="N143" s="40"/>
      <c r="O143" s="40"/>
      <c r="P143" s="40"/>
      <c r="Q143" s="39" t="str">
        <f t="shared" si="37"/>
        <v/>
      </c>
      <c r="R143" s="38" t="str">
        <f t="shared" si="38"/>
        <v/>
      </c>
      <c r="S143" s="38" t="str">
        <f t="shared" si="39"/>
        <v/>
      </c>
      <c r="T143" s="147">
        <v>259.72000000000003</v>
      </c>
      <c r="U143" s="147">
        <v>560.52</v>
      </c>
      <c r="V143" s="147">
        <v>611.41999999999996</v>
      </c>
      <c r="W143" s="38" t="str">
        <f t="shared" si="40"/>
        <v/>
      </c>
      <c r="X143" s="217" t="str">
        <f>IF(E143="","",IF(R143&gt;0,MIN(Att1SmallCarriers[[#This Row],[2023 Maximum Government Contribution
Self+1]],ROUND(R143*0.75,2)),"New Option"))</f>
        <v/>
      </c>
      <c r="Y143" s="217" t="str">
        <f>IF(E143="","",IF(S143&gt;0,MIN(Att1SmallCarriers[[#This Row],[2023 Maximum Government Contribution
Family]],ROUND(S143*0.75,2)),"New Option"))</f>
        <v/>
      </c>
      <c r="Z143" s="38" t="str">
        <f t="shared" si="44"/>
        <v/>
      </c>
      <c r="AA143" s="38" t="str">
        <f t="shared" si="45"/>
        <v/>
      </c>
      <c r="AB143" s="38" t="str">
        <f t="shared" si="46"/>
        <v/>
      </c>
      <c r="AC143" s="38" t="str">
        <f t="shared" si="47"/>
        <v/>
      </c>
      <c r="AD143" s="38" t="str">
        <f t="shared" si="48"/>
        <v/>
      </c>
      <c r="AE143" s="38" t="str">
        <f t="shared" si="49"/>
        <v/>
      </c>
      <c r="AF143" s="89">
        <f>ROUND(Att1SmallCarriers[[#This Row],[2023 Maximum Government Contribution
Self]]*(1+$B$14),2)</f>
        <v>259.72000000000003</v>
      </c>
      <c r="AG143" s="89">
        <f>ROUND(Att1SmallCarriers[[#This Row],[2023 Maximum Government Contribution
Self+1]]*(1+$B$14),2)</f>
        <v>560.52</v>
      </c>
      <c r="AH143" s="89">
        <f>ROUND(Att1SmallCarriers[[#This Row],[2023 Maximum Government Contribution
Family]]*(1+$B$14),2)</f>
        <v>611.41999999999996</v>
      </c>
      <c r="AI143" s="217" t="str">
        <f>IF(E143="","",MIN(Att1SmallCarriers[[#This Row],[ESTIMATED 2024 Maximum Government Contribution
Self]],ROUND(AC143*0.75,2)))</f>
        <v/>
      </c>
      <c r="AJ143" s="217" t="str">
        <f>IF(E143="","",MIN(Att1SmallCarriers[[#This Row],[ESTIMATED 2024 Maximum Government Contribution
Self+1]],ROUND(AD143*0.75,2)))</f>
        <v/>
      </c>
      <c r="AK143" s="217" t="str">
        <f>IF(E143="","",MIN(Att1SmallCarriers[[#This Row],[ESTIMATED 2024 Maximum Government Contribution
Family]],ROUND(AE143*0.75,2)))</f>
        <v/>
      </c>
      <c r="AL143" s="38" t="str">
        <f t="shared" si="50"/>
        <v/>
      </c>
      <c r="AM143" s="38" t="str">
        <f t="shared" si="51"/>
        <v/>
      </c>
      <c r="AN143" s="38" t="str">
        <f t="shared" si="52"/>
        <v/>
      </c>
      <c r="AO143" s="218" t="str">
        <f t="shared" si="41"/>
        <v/>
      </c>
      <c r="AP143" s="218" t="str">
        <f t="shared" si="42"/>
        <v/>
      </c>
      <c r="AQ143" s="218" t="str">
        <f t="shared" si="43"/>
        <v/>
      </c>
    </row>
    <row r="144" spans="5:43" ht="15.5" x14ac:dyDescent="0.35">
      <c r="E144" s="223"/>
      <c r="N144" s="40"/>
      <c r="O144" s="40"/>
      <c r="P144" s="40"/>
      <c r="Q144" s="39" t="str">
        <f t="shared" si="37"/>
        <v/>
      </c>
      <c r="R144" s="38" t="str">
        <f t="shared" si="38"/>
        <v/>
      </c>
      <c r="S144" s="38" t="str">
        <f t="shared" si="39"/>
        <v/>
      </c>
      <c r="T144" s="147">
        <v>259.72000000000003</v>
      </c>
      <c r="U144" s="147">
        <v>560.52</v>
      </c>
      <c r="V144" s="147">
        <v>611.41999999999996</v>
      </c>
      <c r="W144" s="38" t="str">
        <f t="shared" si="40"/>
        <v/>
      </c>
      <c r="X144" s="217" t="str">
        <f>IF(E144="","",IF(R144&gt;0,MIN(Att1SmallCarriers[[#This Row],[2023 Maximum Government Contribution
Self+1]],ROUND(R144*0.75,2)),"New Option"))</f>
        <v/>
      </c>
      <c r="Y144" s="217" t="str">
        <f>IF(E144="","",IF(S144&gt;0,MIN(Att1SmallCarriers[[#This Row],[2023 Maximum Government Contribution
Family]],ROUND(S144*0.75,2)),"New Option"))</f>
        <v/>
      </c>
      <c r="Z144" s="38" t="str">
        <f t="shared" si="44"/>
        <v/>
      </c>
      <c r="AA144" s="38" t="str">
        <f t="shared" si="45"/>
        <v/>
      </c>
      <c r="AB144" s="38" t="str">
        <f t="shared" si="46"/>
        <v/>
      </c>
      <c r="AC144" s="38" t="str">
        <f t="shared" si="47"/>
        <v/>
      </c>
      <c r="AD144" s="38" t="str">
        <f t="shared" si="48"/>
        <v/>
      </c>
      <c r="AE144" s="38" t="str">
        <f t="shared" si="49"/>
        <v/>
      </c>
      <c r="AF144" s="89">
        <f>ROUND(Att1SmallCarriers[[#This Row],[2023 Maximum Government Contribution
Self]]*(1+$B$14),2)</f>
        <v>259.72000000000003</v>
      </c>
      <c r="AG144" s="89">
        <f>ROUND(Att1SmallCarriers[[#This Row],[2023 Maximum Government Contribution
Self+1]]*(1+$B$14),2)</f>
        <v>560.52</v>
      </c>
      <c r="AH144" s="89">
        <f>ROUND(Att1SmallCarriers[[#This Row],[2023 Maximum Government Contribution
Family]]*(1+$B$14),2)</f>
        <v>611.41999999999996</v>
      </c>
      <c r="AI144" s="217" t="str">
        <f>IF(E144="","",MIN(Att1SmallCarriers[[#This Row],[ESTIMATED 2024 Maximum Government Contribution
Self]],ROUND(AC144*0.75,2)))</f>
        <v/>
      </c>
      <c r="AJ144" s="217" t="str">
        <f>IF(E144="","",MIN(Att1SmallCarriers[[#This Row],[ESTIMATED 2024 Maximum Government Contribution
Self+1]],ROUND(AD144*0.75,2)))</f>
        <v/>
      </c>
      <c r="AK144" s="217" t="str">
        <f>IF(E144="","",MIN(Att1SmallCarriers[[#This Row],[ESTIMATED 2024 Maximum Government Contribution
Family]],ROUND(AE144*0.75,2)))</f>
        <v/>
      </c>
      <c r="AL144" s="38" t="str">
        <f t="shared" si="50"/>
        <v/>
      </c>
      <c r="AM144" s="38" t="str">
        <f t="shared" si="51"/>
        <v/>
      </c>
      <c r="AN144" s="38" t="str">
        <f t="shared" si="52"/>
        <v/>
      </c>
      <c r="AO144" s="218" t="str">
        <f t="shared" si="41"/>
        <v/>
      </c>
      <c r="AP144" s="218" t="str">
        <f t="shared" si="42"/>
        <v/>
      </c>
      <c r="AQ144" s="218" t="str">
        <f t="shared" si="43"/>
        <v/>
      </c>
    </row>
    <row r="145" spans="5:43" ht="15.5" x14ac:dyDescent="0.35">
      <c r="E145" s="223"/>
      <c r="N145" s="40"/>
      <c r="O145" s="40"/>
      <c r="P145" s="40"/>
      <c r="Q145" s="39" t="str">
        <f t="shared" si="37"/>
        <v/>
      </c>
      <c r="R145" s="38" t="str">
        <f t="shared" si="38"/>
        <v/>
      </c>
      <c r="S145" s="38" t="str">
        <f t="shared" si="39"/>
        <v/>
      </c>
      <c r="T145" s="147">
        <v>259.72000000000003</v>
      </c>
      <c r="U145" s="147">
        <v>560.52</v>
      </c>
      <c r="V145" s="147">
        <v>611.41999999999996</v>
      </c>
      <c r="W145" s="38" t="str">
        <f t="shared" si="40"/>
        <v/>
      </c>
      <c r="X145" s="217" t="str">
        <f>IF(E145="","",IF(R145&gt;0,MIN(Att1SmallCarriers[[#This Row],[2023 Maximum Government Contribution
Self+1]],ROUND(R145*0.75,2)),"New Option"))</f>
        <v/>
      </c>
      <c r="Y145" s="217" t="str">
        <f>IF(E145="","",IF(S145&gt;0,MIN(Att1SmallCarriers[[#This Row],[2023 Maximum Government Contribution
Family]],ROUND(S145*0.75,2)),"New Option"))</f>
        <v/>
      </c>
      <c r="Z145" s="38" t="str">
        <f t="shared" si="44"/>
        <v/>
      </c>
      <c r="AA145" s="38" t="str">
        <f t="shared" si="45"/>
        <v/>
      </c>
      <c r="AB145" s="38" t="str">
        <f t="shared" si="46"/>
        <v/>
      </c>
      <c r="AC145" s="38" t="str">
        <f t="shared" si="47"/>
        <v/>
      </c>
      <c r="AD145" s="38" t="str">
        <f t="shared" si="48"/>
        <v/>
      </c>
      <c r="AE145" s="38" t="str">
        <f t="shared" si="49"/>
        <v/>
      </c>
      <c r="AF145" s="89">
        <f>ROUND(Att1SmallCarriers[[#This Row],[2023 Maximum Government Contribution
Self]]*(1+$B$14),2)</f>
        <v>259.72000000000003</v>
      </c>
      <c r="AG145" s="89">
        <f>ROUND(Att1SmallCarriers[[#This Row],[2023 Maximum Government Contribution
Self+1]]*(1+$B$14),2)</f>
        <v>560.52</v>
      </c>
      <c r="AH145" s="89">
        <f>ROUND(Att1SmallCarriers[[#This Row],[2023 Maximum Government Contribution
Family]]*(1+$B$14),2)</f>
        <v>611.41999999999996</v>
      </c>
      <c r="AI145" s="217" t="str">
        <f>IF(E145="","",MIN(Att1SmallCarriers[[#This Row],[ESTIMATED 2024 Maximum Government Contribution
Self]],ROUND(AC145*0.75,2)))</f>
        <v/>
      </c>
      <c r="AJ145" s="217" t="str">
        <f>IF(E145="","",MIN(Att1SmallCarriers[[#This Row],[ESTIMATED 2024 Maximum Government Contribution
Self+1]],ROUND(AD145*0.75,2)))</f>
        <v/>
      </c>
      <c r="AK145" s="217" t="str">
        <f>IF(E145="","",MIN(Att1SmallCarriers[[#This Row],[ESTIMATED 2024 Maximum Government Contribution
Family]],ROUND(AE145*0.75,2)))</f>
        <v/>
      </c>
      <c r="AL145" s="38" t="str">
        <f t="shared" si="50"/>
        <v/>
      </c>
      <c r="AM145" s="38" t="str">
        <f t="shared" si="51"/>
        <v/>
      </c>
      <c r="AN145" s="38" t="str">
        <f t="shared" si="52"/>
        <v/>
      </c>
      <c r="AO145" s="218" t="str">
        <f t="shared" si="41"/>
        <v/>
      </c>
      <c r="AP145" s="218" t="str">
        <f t="shared" si="42"/>
        <v/>
      </c>
      <c r="AQ145" s="218" t="str">
        <f t="shared" si="43"/>
        <v/>
      </c>
    </row>
    <row r="146" spans="5:43" ht="15.5" x14ac:dyDescent="0.35">
      <c r="E146" s="223"/>
      <c r="N146" s="40"/>
      <c r="O146" s="40"/>
      <c r="P146" s="40"/>
      <c r="Q146" s="39" t="str">
        <f t="shared" si="37"/>
        <v/>
      </c>
      <c r="R146" s="38" t="str">
        <f t="shared" si="38"/>
        <v/>
      </c>
      <c r="S146" s="38" t="str">
        <f t="shared" si="39"/>
        <v/>
      </c>
      <c r="T146" s="147">
        <v>259.72000000000003</v>
      </c>
      <c r="U146" s="147">
        <v>560.52</v>
      </c>
      <c r="V146" s="147">
        <v>611.41999999999996</v>
      </c>
      <c r="W146" s="38" t="str">
        <f t="shared" si="40"/>
        <v/>
      </c>
      <c r="X146" s="217" t="str">
        <f>IF(E146="","",IF(R146&gt;0,MIN(Att1SmallCarriers[[#This Row],[2023 Maximum Government Contribution
Self+1]],ROUND(R146*0.75,2)),"New Option"))</f>
        <v/>
      </c>
      <c r="Y146" s="217" t="str">
        <f>IF(E146="","",IF(S146&gt;0,MIN(Att1SmallCarriers[[#This Row],[2023 Maximum Government Contribution
Family]],ROUND(S146*0.75,2)),"New Option"))</f>
        <v/>
      </c>
      <c r="Z146" s="38" t="str">
        <f t="shared" si="44"/>
        <v/>
      </c>
      <c r="AA146" s="38" t="str">
        <f t="shared" si="45"/>
        <v/>
      </c>
      <c r="AB146" s="38" t="str">
        <f t="shared" si="46"/>
        <v/>
      </c>
      <c r="AC146" s="38" t="str">
        <f t="shared" si="47"/>
        <v/>
      </c>
      <c r="AD146" s="38" t="str">
        <f t="shared" si="48"/>
        <v/>
      </c>
      <c r="AE146" s="38" t="str">
        <f t="shared" si="49"/>
        <v/>
      </c>
      <c r="AF146" s="89">
        <f>ROUND(Att1SmallCarriers[[#This Row],[2023 Maximum Government Contribution
Self]]*(1+$B$14),2)</f>
        <v>259.72000000000003</v>
      </c>
      <c r="AG146" s="89">
        <f>ROUND(Att1SmallCarriers[[#This Row],[2023 Maximum Government Contribution
Self+1]]*(1+$B$14),2)</f>
        <v>560.52</v>
      </c>
      <c r="AH146" s="89">
        <f>ROUND(Att1SmallCarriers[[#This Row],[2023 Maximum Government Contribution
Family]]*(1+$B$14),2)</f>
        <v>611.41999999999996</v>
      </c>
      <c r="AI146" s="217" t="str">
        <f>IF(E146="","",MIN(Att1SmallCarriers[[#This Row],[ESTIMATED 2024 Maximum Government Contribution
Self]],ROUND(AC146*0.75,2)))</f>
        <v/>
      </c>
      <c r="AJ146" s="217" t="str">
        <f>IF(E146="","",MIN(Att1SmallCarriers[[#This Row],[ESTIMATED 2024 Maximum Government Contribution
Self+1]],ROUND(AD146*0.75,2)))</f>
        <v/>
      </c>
      <c r="AK146" s="217" t="str">
        <f>IF(E146="","",MIN(Att1SmallCarriers[[#This Row],[ESTIMATED 2024 Maximum Government Contribution
Family]],ROUND(AE146*0.75,2)))</f>
        <v/>
      </c>
      <c r="AL146" s="38" t="str">
        <f t="shared" si="50"/>
        <v/>
      </c>
      <c r="AM146" s="38" t="str">
        <f t="shared" si="51"/>
        <v/>
      </c>
      <c r="AN146" s="38" t="str">
        <f t="shared" si="52"/>
        <v/>
      </c>
      <c r="AO146" s="218" t="str">
        <f t="shared" si="41"/>
        <v/>
      </c>
      <c r="AP146" s="218" t="str">
        <f t="shared" si="42"/>
        <v/>
      </c>
      <c r="AQ146" s="218" t="str">
        <f t="shared" si="43"/>
        <v/>
      </c>
    </row>
    <row r="147" spans="5:43" ht="15.5" x14ac:dyDescent="0.35">
      <c r="E147" s="223"/>
      <c r="N147" s="40"/>
      <c r="O147" s="40"/>
      <c r="P147" s="40"/>
      <c r="Q147" s="39" t="str">
        <f t="shared" si="37"/>
        <v/>
      </c>
      <c r="R147" s="38" t="str">
        <f t="shared" si="38"/>
        <v/>
      </c>
      <c r="S147" s="38" t="str">
        <f t="shared" si="39"/>
        <v/>
      </c>
      <c r="T147" s="147">
        <v>259.72000000000003</v>
      </c>
      <c r="U147" s="147">
        <v>560.52</v>
      </c>
      <c r="V147" s="147">
        <v>611.41999999999996</v>
      </c>
      <c r="W147" s="38" t="str">
        <f t="shared" si="40"/>
        <v/>
      </c>
      <c r="X147" s="217" t="str">
        <f>IF(E147="","",IF(R147&gt;0,MIN(Att1SmallCarriers[[#This Row],[2023 Maximum Government Contribution
Self+1]],ROUND(R147*0.75,2)),"New Option"))</f>
        <v/>
      </c>
      <c r="Y147" s="217" t="str">
        <f>IF(E147="","",IF(S147&gt;0,MIN(Att1SmallCarriers[[#This Row],[2023 Maximum Government Contribution
Family]],ROUND(S147*0.75,2)),"New Option"))</f>
        <v/>
      </c>
      <c r="Z147" s="38" t="str">
        <f t="shared" si="44"/>
        <v/>
      </c>
      <c r="AA147" s="38" t="str">
        <f t="shared" si="45"/>
        <v/>
      </c>
      <c r="AB147" s="38" t="str">
        <f t="shared" si="46"/>
        <v/>
      </c>
      <c r="AC147" s="38" t="str">
        <f t="shared" si="47"/>
        <v/>
      </c>
      <c r="AD147" s="38" t="str">
        <f t="shared" si="48"/>
        <v/>
      </c>
      <c r="AE147" s="38" t="str">
        <f t="shared" si="49"/>
        <v/>
      </c>
      <c r="AF147" s="89">
        <f>ROUND(Att1SmallCarriers[[#This Row],[2023 Maximum Government Contribution
Self]]*(1+$B$14),2)</f>
        <v>259.72000000000003</v>
      </c>
      <c r="AG147" s="89">
        <f>ROUND(Att1SmallCarriers[[#This Row],[2023 Maximum Government Contribution
Self+1]]*(1+$B$14),2)</f>
        <v>560.52</v>
      </c>
      <c r="AH147" s="89">
        <f>ROUND(Att1SmallCarriers[[#This Row],[2023 Maximum Government Contribution
Family]]*(1+$B$14),2)</f>
        <v>611.41999999999996</v>
      </c>
      <c r="AI147" s="217" t="str">
        <f>IF(E147="","",MIN(Att1SmallCarriers[[#This Row],[ESTIMATED 2024 Maximum Government Contribution
Self]],ROUND(AC147*0.75,2)))</f>
        <v/>
      </c>
      <c r="AJ147" s="217" t="str">
        <f>IF(E147="","",MIN(Att1SmallCarriers[[#This Row],[ESTIMATED 2024 Maximum Government Contribution
Self+1]],ROUND(AD147*0.75,2)))</f>
        <v/>
      </c>
      <c r="AK147" s="217" t="str">
        <f>IF(E147="","",MIN(Att1SmallCarriers[[#This Row],[ESTIMATED 2024 Maximum Government Contribution
Family]],ROUND(AE147*0.75,2)))</f>
        <v/>
      </c>
      <c r="AL147" s="38" t="str">
        <f t="shared" si="50"/>
        <v/>
      </c>
      <c r="AM147" s="38" t="str">
        <f t="shared" si="51"/>
        <v/>
      </c>
      <c r="AN147" s="38" t="str">
        <f t="shared" si="52"/>
        <v/>
      </c>
      <c r="AO147" s="218" t="str">
        <f t="shared" si="41"/>
        <v/>
      </c>
      <c r="AP147" s="218" t="str">
        <f t="shared" si="42"/>
        <v/>
      </c>
      <c r="AQ147" s="218" t="str">
        <f t="shared" si="43"/>
        <v/>
      </c>
    </row>
    <row r="148" spans="5:43" ht="15.5" x14ac:dyDescent="0.35">
      <c r="E148" s="223"/>
      <c r="N148" s="40"/>
      <c r="O148" s="40"/>
      <c r="P148" s="40"/>
      <c r="Q148" s="39" t="str">
        <f t="shared" ref="Q148:Q151" si="53">IF(E148="","",ROUND(N148*1.04,2))</f>
        <v/>
      </c>
      <c r="R148" s="38" t="str">
        <f t="shared" ref="R148:R151" si="54">IF(E148="","",ROUND(O148*1.04,2))</f>
        <v/>
      </c>
      <c r="S148" s="38" t="str">
        <f t="shared" ref="S148:S151" si="55">IF(E148="","",ROUND(P148*1.04,2))</f>
        <v/>
      </c>
      <c r="T148" s="147">
        <v>259.72000000000003</v>
      </c>
      <c r="U148" s="147">
        <v>560.52</v>
      </c>
      <c r="V148" s="147">
        <v>611.41999999999996</v>
      </c>
      <c r="W148" s="38" t="str">
        <f t="shared" ref="W148:W181" si="56">IF(E148="","",IF(Q148&gt;0,MIN(T148,ROUND(Q148*0.75,2)),"New Option"))</f>
        <v/>
      </c>
      <c r="X148" s="217" t="str">
        <f>IF(E148="","",IF(R148&gt;0,MIN(Att1SmallCarriers[[#This Row],[2023 Maximum Government Contribution
Self+1]],ROUND(R148*0.75,2)),"New Option"))</f>
        <v/>
      </c>
      <c r="Y148" s="217" t="str">
        <f>IF(E148="","",IF(S148&gt;0,MIN(Att1SmallCarriers[[#This Row],[2023 Maximum Government Contribution
Family]],ROUND(S148*0.75,2)),"New Option"))</f>
        <v/>
      </c>
      <c r="Z148" s="38" t="str">
        <f t="shared" si="44"/>
        <v/>
      </c>
      <c r="AA148" s="38" t="str">
        <f t="shared" si="45"/>
        <v/>
      </c>
      <c r="AB148" s="38" t="str">
        <f t="shared" si="46"/>
        <v/>
      </c>
      <c r="AC148" s="38" t="str">
        <f t="shared" si="47"/>
        <v/>
      </c>
      <c r="AD148" s="38" t="str">
        <f t="shared" si="48"/>
        <v/>
      </c>
      <c r="AE148" s="38" t="str">
        <f t="shared" si="49"/>
        <v/>
      </c>
      <c r="AF148" s="89">
        <f>ROUND(Att1SmallCarriers[[#This Row],[2023 Maximum Government Contribution
Self]]*(1+$B$14),2)</f>
        <v>259.72000000000003</v>
      </c>
      <c r="AG148" s="89">
        <f>ROUND(Att1SmallCarriers[[#This Row],[2023 Maximum Government Contribution
Self+1]]*(1+$B$14),2)</f>
        <v>560.52</v>
      </c>
      <c r="AH148" s="89">
        <f>ROUND(Att1SmallCarriers[[#This Row],[2023 Maximum Government Contribution
Family]]*(1+$B$14),2)</f>
        <v>611.41999999999996</v>
      </c>
      <c r="AI148" s="217" t="str">
        <f>IF(E148="","",MIN(Att1SmallCarriers[[#This Row],[ESTIMATED 2024 Maximum Government Contribution
Self]],ROUND(AC148*0.75,2)))</f>
        <v/>
      </c>
      <c r="AJ148" s="217" t="str">
        <f>IF(E148="","",MIN(Att1SmallCarriers[[#This Row],[ESTIMATED 2024 Maximum Government Contribution
Self+1]],ROUND(AD148*0.75,2)))</f>
        <v/>
      </c>
      <c r="AK148" s="217" t="str">
        <f>IF(E148="","",MIN(Att1SmallCarriers[[#This Row],[ESTIMATED 2024 Maximum Government Contribution
Family]],ROUND(AE148*0.75,2)))</f>
        <v/>
      </c>
      <c r="AL148" s="38" t="str">
        <f t="shared" si="50"/>
        <v/>
      </c>
      <c r="AM148" s="38" t="str">
        <f t="shared" si="51"/>
        <v/>
      </c>
      <c r="AN148" s="38" t="str">
        <f t="shared" si="52"/>
        <v/>
      </c>
      <c r="AO148" s="218" t="str">
        <f t="shared" ref="AO148:AO181" si="57">IF(E148="","",IFERROR(AL148/Z148-1,"New Option"))</f>
        <v/>
      </c>
      <c r="AP148" s="218" t="str">
        <f t="shared" ref="AP148:AP181" si="58">IF(E148="","",IFERROR(AM148/AA148-1,"New Option"))</f>
        <v/>
      </c>
      <c r="AQ148" s="218" t="str">
        <f t="shared" ref="AQ148:AQ181" si="59">IF(E148="","",IFERROR(AN148/AB148-1,"New Option"))</f>
        <v/>
      </c>
    </row>
    <row r="149" spans="5:43" ht="15.5" x14ac:dyDescent="0.35">
      <c r="E149" s="223"/>
      <c r="N149" s="40"/>
      <c r="O149" s="40"/>
      <c r="P149" s="40"/>
      <c r="Q149" s="39" t="str">
        <f t="shared" si="53"/>
        <v/>
      </c>
      <c r="R149" s="38" t="str">
        <f t="shared" si="54"/>
        <v/>
      </c>
      <c r="S149" s="38" t="str">
        <f t="shared" si="55"/>
        <v/>
      </c>
      <c r="T149" s="147">
        <v>259.72000000000003</v>
      </c>
      <c r="U149" s="147">
        <v>560.52</v>
      </c>
      <c r="V149" s="147">
        <v>611.41999999999996</v>
      </c>
      <c r="W149" s="38" t="str">
        <f t="shared" si="56"/>
        <v/>
      </c>
      <c r="X149" s="217" t="str">
        <f>IF(E149="","",IF(R149&gt;0,MIN(Att1SmallCarriers[[#This Row],[2023 Maximum Government Contribution
Self+1]],ROUND(R149*0.75,2)),"New Option"))</f>
        <v/>
      </c>
      <c r="Y149" s="217" t="str">
        <f>IF(E149="","",IF(S149&gt;0,MIN(Att1SmallCarriers[[#This Row],[2023 Maximum Government Contribution
Family]],ROUND(S149*0.75,2)),"New Option"))</f>
        <v/>
      </c>
      <c r="Z149" s="38" t="str">
        <f t="shared" si="44"/>
        <v/>
      </c>
      <c r="AA149" s="38" t="str">
        <f t="shared" si="45"/>
        <v/>
      </c>
      <c r="AB149" s="38" t="str">
        <f t="shared" si="46"/>
        <v/>
      </c>
      <c r="AC149" s="38" t="str">
        <f t="shared" si="47"/>
        <v/>
      </c>
      <c r="AD149" s="38" t="str">
        <f t="shared" si="48"/>
        <v/>
      </c>
      <c r="AE149" s="38" t="str">
        <f t="shared" si="49"/>
        <v/>
      </c>
      <c r="AF149" s="89">
        <f>ROUND(Att1SmallCarriers[[#This Row],[2023 Maximum Government Contribution
Self]]*(1+$B$14),2)</f>
        <v>259.72000000000003</v>
      </c>
      <c r="AG149" s="89">
        <f>ROUND(Att1SmallCarriers[[#This Row],[2023 Maximum Government Contribution
Self+1]]*(1+$B$14),2)</f>
        <v>560.52</v>
      </c>
      <c r="AH149" s="89">
        <f>ROUND(Att1SmallCarriers[[#This Row],[2023 Maximum Government Contribution
Family]]*(1+$B$14),2)</f>
        <v>611.41999999999996</v>
      </c>
      <c r="AI149" s="217" t="str">
        <f>IF(E149="","",MIN(Att1SmallCarriers[[#This Row],[ESTIMATED 2024 Maximum Government Contribution
Self]],ROUND(AC149*0.75,2)))</f>
        <v/>
      </c>
      <c r="AJ149" s="217" t="str">
        <f>IF(E149="","",MIN(Att1SmallCarriers[[#This Row],[ESTIMATED 2024 Maximum Government Contribution
Self+1]],ROUND(AD149*0.75,2)))</f>
        <v/>
      </c>
      <c r="AK149" s="217" t="str">
        <f>IF(E149="","",MIN(Att1SmallCarriers[[#This Row],[ESTIMATED 2024 Maximum Government Contribution
Family]],ROUND(AE149*0.75,2)))</f>
        <v/>
      </c>
      <c r="AL149" s="38" t="str">
        <f t="shared" si="50"/>
        <v/>
      </c>
      <c r="AM149" s="38" t="str">
        <f t="shared" si="51"/>
        <v/>
      </c>
      <c r="AN149" s="38" t="str">
        <f t="shared" si="52"/>
        <v/>
      </c>
      <c r="AO149" s="218" t="str">
        <f t="shared" si="57"/>
        <v/>
      </c>
      <c r="AP149" s="218" t="str">
        <f t="shared" si="58"/>
        <v/>
      </c>
      <c r="AQ149" s="218" t="str">
        <f t="shared" si="59"/>
        <v/>
      </c>
    </row>
    <row r="150" spans="5:43" ht="15.5" x14ac:dyDescent="0.35">
      <c r="E150" s="223"/>
      <c r="N150" s="40"/>
      <c r="O150" s="40"/>
      <c r="P150" s="40"/>
      <c r="Q150" s="39" t="str">
        <f t="shared" si="53"/>
        <v/>
      </c>
      <c r="R150" s="38" t="str">
        <f t="shared" si="54"/>
        <v/>
      </c>
      <c r="S150" s="38" t="str">
        <f t="shared" si="55"/>
        <v/>
      </c>
      <c r="T150" s="147">
        <v>259.72000000000003</v>
      </c>
      <c r="U150" s="147">
        <v>560.52</v>
      </c>
      <c r="V150" s="147">
        <v>611.41999999999996</v>
      </c>
      <c r="W150" s="38" t="str">
        <f t="shared" si="56"/>
        <v/>
      </c>
      <c r="X150" s="217" t="str">
        <f>IF(E150="","",IF(R150&gt;0,MIN(Att1SmallCarriers[[#This Row],[2023 Maximum Government Contribution
Self+1]],ROUND(R150*0.75,2)),"New Option"))</f>
        <v/>
      </c>
      <c r="Y150" s="217" t="str">
        <f>IF(E150="","",IF(S150&gt;0,MIN(Att1SmallCarriers[[#This Row],[2023 Maximum Government Contribution
Family]],ROUND(S150*0.75,2)),"New Option"))</f>
        <v/>
      </c>
      <c r="Z150" s="38" t="str">
        <f t="shared" si="44"/>
        <v/>
      </c>
      <c r="AA150" s="38" t="str">
        <f t="shared" si="45"/>
        <v/>
      </c>
      <c r="AB150" s="38" t="str">
        <f t="shared" si="46"/>
        <v/>
      </c>
      <c r="AC150" s="38" t="str">
        <f t="shared" si="47"/>
        <v/>
      </c>
      <c r="AD150" s="38" t="str">
        <f t="shared" si="48"/>
        <v/>
      </c>
      <c r="AE150" s="38" t="str">
        <f t="shared" si="49"/>
        <v/>
      </c>
      <c r="AF150" s="89">
        <f>ROUND(Att1SmallCarriers[[#This Row],[2023 Maximum Government Contribution
Self]]*(1+$B$14),2)</f>
        <v>259.72000000000003</v>
      </c>
      <c r="AG150" s="89">
        <f>ROUND(Att1SmallCarriers[[#This Row],[2023 Maximum Government Contribution
Self+1]]*(1+$B$14),2)</f>
        <v>560.52</v>
      </c>
      <c r="AH150" s="89">
        <f>ROUND(Att1SmallCarriers[[#This Row],[2023 Maximum Government Contribution
Family]]*(1+$B$14),2)</f>
        <v>611.41999999999996</v>
      </c>
      <c r="AI150" s="217" t="str">
        <f>IF(E150="","",MIN(Att1SmallCarriers[[#This Row],[ESTIMATED 2024 Maximum Government Contribution
Self]],ROUND(AC150*0.75,2)))</f>
        <v/>
      </c>
      <c r="AJ150" s="217" t="str">
        <f>IF(E150="","",MIN(Att1SmallCarriers[[#This Row],[ESTIMATED 2024 Maximum Government Contribution
Self+1]],ROUND(AD150*0.75,2)))</f>
        <v/>
      </c>
      <c r="AK150" s="217" t="str">
        <f>IF(E150="","",MIN(Att1SmallCarriers[[#This Row],[ESTIMATED 2024 Maximum Government Contribution
Family]],ROUND(AE150*0.75,2)))</f>
        <v/>
      </c>
      <c r="AL150" s="38" t="str">
        <f t="shared" si="50"/>
        <v/>
      </c>
      <c r="AM150" s="38" t="str">
        <f t="shared" si="51"/>
        <v/>
      </c>
      <c r="AN150" s="38" t="str">
        <f t="shared" si="52"/>
        <v/>
      </c>
      <c r="AO150" s="218" t="str">
        <f t="shared" si="57"/>
        <v/>
      </c>
      <c r="AP150" s="218" t="str">
        <f t="shared" si="58"/>
        <v/>
      </c>
      <c r="AQ150" s="218" t="str">
        <f t="shared" si="59"/>
        <v/>
      </c>
    </row>
    <row r="151" spans="5:43" ht="15.5" x14ac:dyDescent="0.35">
      <c r="E151" s="223"/>
      <c r="N151" s="40"/>
      <c r="O151" s="40"/>
      <c r="P151" s="40"/>
      <c r="Q151" s="39" t="str">
        <f t="shared" si="53"/>
        <v/>
      </c>
      <c r="R151" s="38" t="str">
        <f t="shared" si="54"/>
        <v/>
      </c>
      <c r="S151" s="38" t="str">
        <f t="shared" si="55"/>
        <v/>
      </c>
      <c r="T151" s="147">
        <v>259.72000000000003</v>
      </c>
      <c r="U151" s="147">
        <v>560.52</v>
      </c>
      <c r="V151" s="147">
        <v>611.41999999999996</v>
      </c>
      <c r="W151" s="38" t="str">
        <f t="shared" si="56"/>
        <v/>
      </c>
      <c r="X151" s="217" t="str">
        <f>IF(E151="","",IF(R151&gt;0,MIN(Att1SmallCarriers[[#This Row],[2023 Maximum Government Contribution
Self+1]],ROUND(R151*0.75,2)),"New Option"))</f>
        <v/>
      </c>
      <c r="Y151" s="217" t="str">
        <f>IF(E151="","",IF(S151&gt;0,MIN(Att1SmallCarriers[[#This Row],[2023 Maximum Government Contribution
Family]],ROUND(S151*0.75,2)),"New Option"))</f>
        <v/>
      </c>
      <c r="Z151" s="38" t="str">
        <f t="shared" si="44"/>
        <v/>
      </c>
      <c r="AA151" s="38" t="str">
        <f t="shared" si="45"/>
        <v/>
      </c>
      <c r="AB151" s="38" t="str">
        <f t="shared" si="46"/>
        <v/>
      </c>
      <c r="AC151" s="38" t="str">
        <f t="shared" si="47"/>
        <v/>
      </c>
      <c r="AD151" s="38" t="str">
        <f t="shared" si="48"/>
        <v/>
      </c>
      <c r="AE151" s="38" t="str">
        <f t="shared" si="49"/>
        <v/>
      </c>
      <c r="AF151" s="89">
        <f>ROUND(Att1SmallCarriers[[#This Row],[2023 Maximum Government Contribution
Self]]*(1+$B$14),2)</f>
        <v>259.72000000000003</v>
      </c>
      <c r="AG151" s="89">
        <f>ROUND(Att1SmallCarriers[[#This Row],[2023 Maximum Government Contribution
Self+1]]*(1+$B$14),2)</f>
        <v>560.52</v>
      </c>
      <c r="AH151" s="89">
        <f>ROUND(Att1SmallCarriers[[#This Row],[2023 Maximum Government Contribution
Family]]*(1+$B$14),2)</f>
        <v>611.41999999999996</v>
      </c>
      <c r="AI151" s="217" t="str">
        <f>IF(E151="","",MIN(Att1SmallCarriers[[#This Row],[ESTIMATED 2024 Maximum Government Contribution
Self]],ROUND(AC151*0.75,2)))</f>
        <v/>
      </c>
      <c r="AJ151" s="217" t="str">
        <f>IF(E151="","",MIN(Att1SmallCarriers[[#This Row],[ESTIMATED 2024 Maximum Government Contribution
Self+1]],ROUND(AD151*0.75,2)))</f>
        <v/>
      </c>
      <c r="AK151" s="217" t="str">
        <f>IF(E151="","",MIN(Att1SmallCarriers[[#This Row],[ESTIMATED 2024 Maximum Government Contribution
Family]],ROUND(AE151*0.75,2)))</f>
        <v/>
      </c>
      <c r="AL151" s="38" t="str">
        <f t="shared" si="50"/>
        <v/>
      </c>
      <c r="AM151" s="38" t="str">
        <f t="shared" si="51"/>
        <v/>
      </c>
      <c r="AN151" s="38" t="str">
        <f t="shared" si="52"/>
        <v/>
      </c>
      <c r="AO151" s="218" t="str">
        <f t="shared" si="57"/>
        <v/>
      </c>
      <c r="AP151" s="218" t="str">
        <f t="shared" si="58"/>
        <v/>
      </c>
      <c r="AQ151" s="218" t="str">
        <f t="shared" si="59"/>
        <v/>
      </c>
    </row>
    <row r="152" spans="5:43" ht="15.5" x14ac:dyDescent="0.35">
      <c r="E152" s="223"/>
      <c r="N152" s="40"/>
      <c r="O152" s="40"/>
      <c r="P152" s="40"/>
      <c r="Q152" s="39" t="str">
        <f t="shared" ref="Q152:Q181" si="60">IF(E152="","",ROUND(N152*1.04,2))</f>
        <v/>
      </c>
      <c r="R152" s="38" t="str">
        <f t="shared" ref="R152:R181" si="61">IF(E152="","",ROUND(O152*1.04,2))</f>
        <v/>
      </c>
      <c r="S152" s="38" t="str">
        <f t="shared" ref="S152:S181" si="62">IF(E152="","",ROUND(P152*1.04,2))</f>
        <v/>
      </c>
      <c r="T152" s="147">
        <v>259.72000000000003</v>
      </c>
      <c r="U152" s="147">
        <v>560.52</v>
      </c>
      <c r="V152" s="147">
        <v>611.41999999999996</v>
      </c>
      <c r="W152" s="38" t="str">
        <f t="shared" si="56"/>
        <v/>
      </c>
      <c r="X152" s="217" t="str">
        <f>IF(E152="","",IF(R152&gt;0,MIN(Att1SmallCarriers[[#This Row],[2023 Maximum Government Contribution
Self+1]],ROUND(R152*0.75,2)),"New Option"))</f>
        <v/>
      </c>
      <c r="Y152" s="217" t="str">
        <f>IF(E152="","",IF(S152&gt;0,MIN(Att1SmallCarriers[[#This Row],[2023 Maximum Government Contribution
Family]],ROUND(S152*0.75,2)),"New Option"))</f>
        <v/>
      </c>
      <c r="Z152" s="38" t="str">
        <f t="shared" ref="Z152:Z181" si="63">IF(E152="","",IF(Q152&gt;0, Q152-W152,"New Option"))</f>
        <v/>
      </c>
      <c r="AA152" s="38" t="str">
        <f t="shared" ref="AA152:AA181" si="64">IF(E152="","",IF(R152&gt;0, R152-X152,"New Option"))</f>
        <v/>
      </c>
      <c r="AB152" s="38" t="str">
        <f t="shared" ref="AB152:AB181" si="65">IF(E152="","",IF(S152&gt;0, S152-Y152,"New Option"))</f>
        <v/>
      </c>
      <c r="AC152" s="38" t="str">
        <f t="shared" ref="AC152:AC181" si="66">IF(E152="","",ROUND(K152*1.04,2))</f>
        <v/>
      </c>
      <c r="AD152" s="38" t="str">
        <f t="shared" ref="AD152:AD181" si="67">IF(E152="","",ROUND(L152*1.04,2))</f>
        <v/>
      </c>
      <c r="AE152" s="38" t="str">
        <f t="shared" ref="AE152:AE181" si="68">IF(E152="","",ROUND(M152*1.04,2))</f>
        <v/>
      </c>
      <c r="AF152" s="89">
        <f>ROUND(Att1SmallCarriers[[#This Row],[2023 Maximum Government Contribution
Self]]*(1+$B$14),2)</f>
        <v>259.72000000000003</v>
      </c>
      <c r="AG152" s="89">
        <f>ROUND(Att1SmallCarriers[[#This Row],[2023 Maximum Government Contribution
Self+1]]*(1+$B$14),2)</f>
        <v>560.52</v>
      </c>
      <c r="AH152" s="89">
        <f>ROUND(Att1SmallCarriers[[#This Row],[2023 Maximum Government Contribution
Family]]*(1+$B$14),2)</f>
        <v>611.41999999999996</v>
      </c>
      <c r="AI152" s="217" t="str">
        <f>IF(E152="","",MIN(Att1SmallCarriers[[#This Row],[ESTIMATED 2024 Maximum Government Contribution
Self]],ROUND(AC152*0.75,2)))</f>
        <v/>
      </c>
      <c r="AJ152" s="217" t="str">
        <f>IF(E152="","",MIN(Att1SmallCarriers[[#This Row],[ESTIMATED 2024 Maximum Government Contribution
Self+1]],ROUND(AD152*0.75,2)))</f>
        <v/>
      </c>
      <c r="AK152" s="217" t="str">
        <f>IF(E152="","",MIN(Att1SmallCarriers[[#This Row],[ESTIMATED 2024 Maximum Government Contribution
Family]],ROUND(AE152*0.75,2)))</f>
        <v/>
      </c>
      <c r="AL152" s="38" t="str">
        <f t="shared" ref="AL152:AL181" si="69">IF(E152="","",AC152-AI152)</f>
        <v/>
      </c>
      <c r="AM152" s="38" t="str">
        <f t="shared" ref="AM152:AM181" si="70">IF(E152="","",AD152-AJ152)</f>
        <v/>
      </c>
      <c r="AN152" s="38" t="str">
        <f t="shared" ref="AN152:AN181" si="71">IF(E152="","",AE152-AK152)</f>
        <v/>
      </c>
      <c r="AO152" s="218" t="str">
        <f t="shared" si="57"/>
        <v/>
      </c>
      <c r="AP152" s="218" t="str">
        <f t="shared" si="58"/>
        <v/>
      </c>
      <c r="AQ152" s="218" t="str">
        <f t="shared" si="59"/>
        <v/>
      </c>
    </row>
    <row r="153" spans="5:43" ht="15.5" x14ac:dyDescent="0.35">
      <c r="E153" s="223"/>
      <c r="N153" s="40"/>
      <c r="O153" s="40"/>
      <c r="P153" s="40"/>
      <c r="Q153" s="39" t="str">
        <f t="shared" si="60"/>
        <v/>
      </c>
      <c r="R153" s="38" t="str">
        <f t="shared" si="61"/>
        <v/>
      </c>
      <c r="S153" s="38" t="str">
        <f t="shared" si="62"/>
        <v/>
      </c>
      <c r="T153" s="147">
        <v>259.72000000000003</v>
      </c>
      <c r="U153" s="147">
        <v>560.52</v>
      </c>
      <c r="V153" s="147">
        <v>611.41999999999996</v>
      </c>
      <c r="W153" s="38" t="str">
        <f t="shared" si="56"/>
        <v/>
      </c>
      <c r="X153" s="217" t="str">
        <f>IF(E153="","",IF(R153&gt;0,MIN(Att1SmallCarriers[[#This Row],[2023 Maximum Government Contribution
Self+1]],ROUND(R153*0.75,2)),"New Option"))</f>
        <v/>
      </c>
      <c r="Y153" s="217" t="str">
        <f>IF(E153="","",IF(S153&gt;0,MIN(Att1SmallCarriers[[#This Row],[2023 Maximum Government Contribution
Family]],ROUND(S153*0.75,2)),"New Option"))</f>
        <v/>
      </c>
      <c r="Z153" s="38" t="str">
        <f t="shared" si="63"/>
        <v/>
      </c>
      <c r="AA153" s="38" t="str">
        <f t="shared" si="64"/>
        <v/>
      </c>
      <c r="AB153" s="38" t="str">
        <f t="shared" si="65"/>
        <v/>
      </c>
      <c r="AC153" s="38" t="str">
        <f t="shared" si="66"/>
        <v/>
      </c>
      <c r="AD153" s="38" t="str">
        <f t="shared" si="67"/>
        <v/>
      </c>
      <c r="AE153" s="38" t="str">
        <f t="shared" si="68"/>
        <v/>
      </c>
      <c r="AF153" s="89">
        <f>ROUND(Att1SmallCarriers[[#This Row],[2023 Maximum Government Contribution
Self]]*(1+$B$14),2)</f>
        <v>259.72000000000003</v>
      </c>
      <c r="AG153" s="89">
        <f>ROUND(Att1SmallCarriers[[#This Row],[2023 Maximum Government Contribution
Self+1]]*(1+$B$14),2)</f>
        <v>560.52</v>
      </c>
      <c r="AH153" s="89">
        <f>ROUND(Att1SmallCarriers[[#This Row],[2023 Maximum Government Contribution
Family]]*(1+$B$14),2)</f>
        <v>611.41999999999996</v>
      </c>
      <c r="AI153" s="217" t="str">
        <f>IF(E153="","",MIN(Att1SmallCarriers[[#This Row],[ESTIMATED 2024 Maximum Government Contribution
Self]],ROUND(AC153*0.75,2)))</f>
        <v/>
      </c>
      <c r="AJ153" s="217" t="str">
        <f>IF(E153="","",MIN(Att1SmallCarriers[[#This Row],[ESTIMATED 2024 Maximum Government Contribution
Self+1]],ROUND(AD153*0.75,2)))</f>
        <v/>
      </c>
      <c r="AK153" s="217" t="str">
        <f>IF(E153="","",MIN(Att1SmallCarriers[[#This Row],[ESTIMATED 2024 Maximum Government Contribution
Family]],ROUND(AE153*0.75,2)))</f>
        <v/>
      </c>
      <c r="AL153" s="38" t="str">
        <f t="shared" si="69"/>
        <v/>
      </c>
      <c r="AM153" s="38" t="str">
        <f t="shared" si="70"/>
        <v/>
      </c>
      <c r="AN153" s="38" t="str">
        <f t="shared" si="71"/>
        <v/>
      </c>
      <c r="AO153" s="218" t="str">
        <f t="shared" si="57"/>
        <v/>
      </c>
      <c r="AP153" s="218" t="str">
        <f t="shared" si="58"/>
        <v/>
      </c>
      <c r="AQ153" s="218" t="str">
        <f t="shared" si="59"/>
        <v/>
      </c>
    </row>
    <row r="154" spans="5:43" ht="15.5" x14ac:dyDescent="0.35">
      <c r="E154" s="223"/>
      <c r="N154" s="40"/>
      <c r="O154" s="40"/>
      <c r="P154" s="40"/>
      <c r="Q154" s="39" t="str">
        <f t="shared" si="60"/>
        <v/>
      </c>
      <c r="R154" s="38" t="str">
        <f t="shared" si="61"/>
        <v/>
      </c>
      <c r="S154" s="38" t="str">
        <f t="shared" si="62"/>
        <v/>
      </c>
      <c r="T154" s="147">
        <v>259.72000000000003</v>
      </c>
      <c r="U154" s="147">
        <v>560.52</v>
      </c>
      <c r="V154" s="147">
        <v>611.41999999999996</v>
      </c>
      <c r="W154" s="38" t="str">
        <f t="shared" si="56"/>
        <v/>
      </c>
      <c r="X154" s="217" t="str">
        <f>IF(E154="","",IF(R154&gt;0,MIN(Att1SmallCarriers[[#This Row],[2023 Maximum Government Contribution
Self+1]],ROUND(R154*0.75,2)),"New Option"))</f>
        <v/>
      </c>
      <c r="Y154" s="217" t="str">
        <f>IF(E154="","",IF(S154&gt;0,MIN(Att1SmallCarriers[[#This Row],[2023 Maximum Government Contribution
Family]],ROUND(S154*0.75,2)),"New Option"))</f>
        <v/>
      </c>
      <c r="Z154" s="38" t="str">
        <f t="shared" si="63"/>
        <v/>
      </c>
      <c r="AA154" s="38" t="str">
        <f t="shared" si="64"/>
        <v/>
      </c>
      <c r="AB154" s="38" t="str">
        <f t="shared" si="65"/>
        <v/>
      </c>
      <c r="AC154" s="38" t="str">
        <f t="shared" si="66"/>
        <v/>
      </c>
      <c r="AD154" s="38" t="str">
        <f t="shared" si="67"/>
        <v/>
      </c>
      <c r="AE154" s="38" t="str">
        <f t="shared" si="68"/>
        <v/>
      </c>
      <c r="AF154" s="89">
        <f>ROUND(Att1SmallCarriers[[#This Row],[2023 Maximum Government Contribution
Self]]*(1+$B$14),2)</f>
        <v>259.72000000000003</v>
      </c>
      <c r="AG154" s="89">
        <f>ROUND(Att1SmallCarriers[[#This Row],[2023 Maximum Government Contribution
Self+1]]*(1+$B$14),2)</f>
        <v>560.52</v>
      </c>
      <c r="AH154" s="89">
        <f>ROUND(Att1SmallCarriers[[#This Row],[2023 Maximum Government Contribution
Family]]*(1+$B$14),2)</f>
        <v>611.41999999999996</v>
      </c>
      <c r="AI154" s="217" t="str">
        <f>IF(E154="","",MIN(Att1SmallCarriers[[#This Row],[ESTIMATED 2024 Maximum Government Contribution
Self]],ROUND(AC154*0.75,2)))</f>
        <v/>
      </c>
      <c r="AJ154" s="217" t="str">
        <f>IF(E154="","",MIN(Att1SmallCarriers[[#This Row],[ESTIMATED 2024 Maximum Government Contribution
Self+1]],ROUND(AD154*0.75,2)))</f>
        <v/>
      </c>
      <c r="AK154" s="217" t="str">
        <f>IF(E154="","",MIN(Att1SmallCarriers[[#This Row],[ESTIMATED 2024 Maximum Government Contribution
Family]],ROUND(AE154*0.75,2)))</f>
        <v/>
      </c>
      <c r="AL154" s="38" t="str">
        <f t="shared" si="69"/>
        <v/>
      </c>
      <c r="AM154" s="38" t="str">
        <f t="shared" si="70"/>
        <v/>
      </c>
      <c r="AN154" s="38" t="str">
        <f t="shared" si="71"/>
        <v/>
      </c>
      <c r="AO154" s="218" t="str">
        <f t="shared" si="57"/>
        <v/>
      </c>
      <c r="AP154" s="218" t="str">
        <f t="shared" si="58"/>
        <v/>
      </c>
      <c r="AQ154" s="218" t="str">
        <f t="shared" si="59"/>
        <v/>
      </c>
    </row>
    <row r="155" spans="5:43" ht="15.5" x14ac:dyDescent="0.35">
      <c r="E155" s="223"/>
      <c r="N155" s="40"/>
      <c r="O155" s="40"/>
      <c r="P155" s="40"/>
      <c r="Q155" s="39" t="str">
        <f t="shared" si="60"/>
        <v/>
      </c>
      <c r="R155" s="38" t="str">
        <f t="shared" si="61"/>
        <v/>
      </c>
      <c r="S155" s="38" t="str">
        <f t="shared" si="62"/>
        <v/>
      </c>
      <c r="T155" s="147">
        <v>259.72000000000003</v>
      </c>
      <c r="U155" s="147">
        <v>560.52</v>
      </c>
      <c r="V155" s="147">
        <v>611.41999999999996</v>
      </c>
      <c r="W155" s="38" t="str">
        <f t="shared" si="56"/>
        <v/>
      </c>
      <c r="X155" s="217" t="str">
        <f>IF(E155="","",IF(R155&gt;0,MIN(Att1SmallCarriers[[#This Row],[2023 Maximum Government Contribution
Self+1]],ROUND(R155*0.75,2)),"New Option"))</f>
        <v/>
      </c>
      <c r="Y155" s="217" t="str">
        <f>IF(E155="","",IF(S155&gt;0,MIN(Att1SmallCarriers[[#This Row],[2023 Maximum Government Contribution
Family]],ROUND(S155*0.75,2)),"New Option"))</f>
        <v/>
      </c>
      <c r="Z155" s="38" t="str">
        <f t="shared" si="63"/>
        <v/>
      </c>
      <c r="AA155" s="38" t="str">
        <f t="shared" si="64"/>
        <v/>
      </c>
      <c r="AB155" s="38" t="str">
        <f t="shared" si="65"/>
        <v/>
      </c>
      <c r="AC155" s="38" t="str">
        <f t="shared" si="66"/>
        <v/>
      </c>
      <c r="AD155" s="38" t="str">
        <f t="shared" si="67"/>
        <v/>
      </c>
      <c r="AE155" s="38" t="str">
        <f t="shared" si="68"/>
        <v/>
      </c>
      <c r="AF155" s="89">
        <f>ROUND(Att1SmallCarriers[[#This Row],[2023 Maximum Government Contribution
Self]]*(1+$B$14),2)</f>
        <v>259.72000000000003</v>
      </c>
      <c r="AG155" s="89">
        <f>ROUND(Att1SmallCarriers[[#This Row],[2023 Maximum Government Contribution
Self+1]]*(1+$B$14),2)</f>
        <v>560.52</v>
      </c>
      <c r="AH155" s="89">
        <f>ROUND(Att1SmallCarriers[[#This Row],[2023 Maximum Government Contribution
Family]]*(1+$B$14),2)</f>
        <v>611.41999999999996</v>
      </c>
      <c r="AI155" s="217" t="str">
        <f>IF(E155="","",MIN(Att1SmallCarriers[[#This Row],[ESTIMATED 2024 Maximum Government Contribution
Self]],ROUND(AC155*0.75,2)))</f>
        <v/>
      </c>
      <c r="AJ155" s="217" t="str">
        <f>IF(E155="","",MIN(Att1SmallCarriers[[#This Row],[ESTIMATED 2024 Maximum Government Contribution
Self+1]],ROUND(AD155*0.75,2)))</f>
        <v/>
      </c>
      <c r="AK155" s="217" t="str">
        <f>IF(E155="","",MIN(Att1SmallCarriers[[#This Row],[ESTIMATED 2024 Maximum Government Contribution
Family]],ROUND(AE155*0.75,2)))</f>
        <v/>
      </c>
      <c r="AL155" s="38" t="str">
        <f t="shared" si="69"/>
        <v/>
      </c>
      <c r="AM155" s="38" t="str">
        <f t="shared" si="70"/>
        <v/>
      </c>
      <c r="AN155" s="38" t="str">
        <f t="shared" si="71"/>
        <v/>
      </c>
      <c r="AO155" s="218" t="str">
        <f t="shared" si="57"/>
        <v/>
      </c>
      <c r="AP155" s="218" t="str">
        <f t="shared" si="58"/>
        <v/>
      </c>
      <c r="AQ155" s="218" t="str">
        <f t="shared" si="59"/>
        <v/>
      </c>
    </row>
    <row r="156" spans="5:43" ht="15.5" x14ac:dyDescent="0.35">
      <c r="E156" s="223"/>
      <c r="N156" s="40"/>
      <c r="O156" s="40"/>
      <c r="P156" s="40"/>
      <c r="Q156" s="39" t="str">
        <f t="shared" si="60"/>
        <v/>
      </c>
      <c r="R156" s="38" t="str">
        <f t="shared" si="61"/>
        <v/>
      </c>
      <c r="S156" s="38" t="str">
        <f t="shared" si="62"/>
        <v/>
      </c>
      <c r="T156" s="147">
        <v>259.72000000000003</v>
      </c>
      <c r="U156" s="147">
        <v>560.52</v>
      </c>
      <c r="V156" s="147">
        <v>611.41999999999996</v>
      </c>
      <c r="W156" s="38" t="str">
        <f t="shared" si="56"/>
        <v/>
      </c>
      <c r="X156" s="217" t="str">
        <f>IF(E156="","",IF(R156&gt;0,MIN(Att1SmallCarriers[[#This Row],[2023 Maximum Government Contribution
Self+1]],ROUND(R156*0.75,2)),"New Option"))</f>
        <v/>
      </c>
      <c r="Y156" s="217" t="str">
        <f>IF(E156="","",IF(S156&gt;0,MIN(Att1SmallCarriers[[#This Row],[2023 Maximum Government Contribution
Family]],ROUND(S156*0.75,2)),"New Option"))</f>
        <v/>
      </c>
      <c r="Z156" s="38" t="str">
        <f t="shared" si="63"/>
        <v/>
      </c>
      <c r="AA156" s="38" t="str">
        <f t="shared" si="64"/>
        <v/>
      </c>
      <c r="AB156" s="38" t="str">
        <f t="shared" si="65"/>
        <v/>
      </c>
      <c r="AC156" s="38" t="str">
        <f t="shared" si="66"/>
        <v/>
      </c>
      <c r="AD156" s="38" t="str">
        <f t="shared" si="67"/>
        <v/>
      </c>
      <c r="AE156" s="38" t="str">
        <f t="shared" si="68"/>
        <v/>
      </c>
      <c r="AF156" s="89">
        <f>ROUND(Att1SmallCarriers[[#This Row],[2023 Maximum Government Contribution
Self]]*(1+$B$14),2)</f>
        <v>259.72000000000003</v>
      </c>
      <c r="AG156" s="89">
        <f>ROUND(Att1SmallCarriers[[#This Row],[2023 Maximum Government Contribution
Self+1]]*(1+$B$14),2)</f>
        <v>560.52</v>
      </c>
      <c r="AH156" s="89">
        <f>ROUND(Att1SmallCarriers[[#This Row],[2023 Maximum Government Contribution
Family]]*(1+$B$14),2)</f>
        <v>611.41999999999996</v>
      </c>
      <c r="AI156" s="217" t="str">
        <f>IF(E156="","",MIN(Att1SmallCarriers[[#This Row],[ESTIMATED 2024 Maximum Government Contribution
Self]],ROUND(AC156*0.75,2)))</f>
        <v/>
      </c>
      <c r="AJ156" s="217" t="str">
        <f>IF(E156="","",MIN(Att1SmallCarriers[[#This Row],[ESTIMATED 2024 Maximum Government Contribution
Self+1]],ROUND(AD156*0.75,2)))</f>
        <v/>
      </c>
      <c r="AK156" s="217" t="str">
        <f>IF(E156="","",MIN(Att1SmallCarriers[[#This Row],[ESTIMATED 2024 Maximum Government Contribution
Family]],ROUND(AE156*0.75,2)))</f>
        <v/>
      </c>
      <c r="AL156" s="38" t="str">
        <f t="shared" si="69"/>
        <v/>
      </c>
      <c r="AM156" s="38" t="str">
        <f t="shared" si="70"/>
        <v/>
      </c>
      <c r="AN156" s="38" t="str">
        <f t="shared" si="71"/>
        <v/>
      </c>
      <c r="AO156" s="218" t="str">
        <f t="shared" si="57"/>
        <v/>
      </c>
      <c r="AP156" s="218" t="str">
        <f t="shared" si="58"/>
        <v/>
      </c>
      <c r="AQ156" s="218" t="str">
        <f t="shared" si="59"/>
        <v/>
      </c>
    </row>
    <row r="157" spans="5:43" ht="15.5" x14ac:dyDescent="0.35">
      <c r="E157" s="223"/>
      <c r="N157" s="40"/>
      <c r="O157" s="40"/>
      <c r="P157" s="40"/>
      <c r="Q157" s="39" t="str">
        <f t="shared" si="60"/>
        <v/>
      </c>
      <c r="R157" s="38" t="str">
        <f t="shared" si="61"/>
        <v/>
      </c>
      <c r="S157" s="38" t="str">
        <f t="shared" si="62"/>
        <v/>
      </c>
      <c r="T157" s="147">
        <v>259.72000000000003</v>
      </c>
      <c r="U157" s="147">
        <v>560.52</v>
      </c>
      <c r="V157" s="147">
        <v>611.41999999999996</v>
      </c>
      <c r="W157" s="38" t="str">
        <f t="shared" si="56"/>
        <v/>
      </c>
      <c r="X157" s="217" t="str">
        <f>IF(E157="","",IF(R157&gt;0,MIN(Att1SmallCarriers[[#This Row],[2023 Maximum Government Contribution
Self+1]],ROUND(R157*0.75,2)),"New Option"))</f>
        <v/>
      </c>
      <c r="Y157" s="217" t="str">
        <f>IF(E157="","",IF(S157&gt;0,MIN(Att1SmallCarriers[[#This Row],[2023 Maximum Government Contribution
Family]],ROUND(S157*0.75,2)),"New Option"))</f>
        <v/>
      </c>
      <c r="Z157" s="38" t="str">
        <f t="shared" si="63"/>
        <v/>
      </c>
      <c r="AA157" s="38" t="str">
        <f t="shared" si="64"/>
        <v/>
      </c>
      <c r="AB157" s="38" t="str">
        <f t="shared" si="65"/>
        <v/>
      </c>
      <c r="AC157" s="38" t="str">
        <f t="shared" si="66"/>
        <v/>
      </c>
      <c r="AD157" s="38" t="str">
        <f t="shared" si="67"/>
        <v/>
      </c>
      <c r="AE157" s="38" t="str">
        <f t="shared" si="68"/>
        <v/>
      </c>
      <c r="AF157" s="89">
        <f>ROUND(Att1SmallCarriers[[#This Row],[2023 Maximum Government Contribution
Self]]*(1+$B$14),2)</f>
        <v>259.72000000000003</v>
      </c>
      <c r="AG157" s="89">
        <f>ROUND(Att1SmallCarriers[[#This Row],[2023 Maximum Government Contribution
Self+1]]*(1+$B$14),2)</f>
        <v>560.52</v>
      </c>
      <c r="AH157" s="89">
        <f>ROUND(Att1SmallCarriers[[#This Row],[2023 Maximum Government Contribution
Family]]*(1+$B$14),2)</f>
        <v>611.41999999999996</v>
      </c>
      <c r="AI157" s="217" t="str">
        <f>IF(E157="","",MIN(Att1SmallCarriers[[#This Row],[ESTIMATED 2024 Maximum Government Contribution
Self]],ROUND(AC157*0.75,2)))</f>
        <v/>
      </c>
      <c r="AJ157" s="217" t="str">
        <f>IF(E157="","",MIN(Att1SmallCarriers[[#This Row],[ESTIMATED 2024 Maximum Government Contribution
Self+1]],ROUND(AD157*0.75,2)))</f>
        <v/>
      </c>
      <c r="AK157" s="217" t="str">
        <f>IF(E157="","",MIN(Att1SmallCarriers[[#This Row],[ESTIMATED 2024 Maximum Government Contribution
Family]],ROUND(AE157*0.75,2)))</f>
        <v/>
      </c>
      <c r="AL157" s="38" t="str">
        <f t="shared" si="69"/>
        <v/>
      </c>
      <c r="AM157" s="38" t="str">
        <f t="shared" si="70"/>
        <v/>
      </c>
      <c r="AN157" s="38" t="str">
        <f t="shared" si="71"/>
        <v/>
      </c>
      <c r="AO157" s="218" t="str">
        <f t="shared" si="57"/>
        <v/>
      </c>
      <c r="AP157" s="218" t="str">
        <f t="shared" si="58"/>
        <v/>
      </c>
      <c r="AQ157" s="218" t="str">
        <f t="shared" si="59"/>
        <v/>
      </c>
    </row>
    <row r="158" spans="5:43" ht="15.5" x14ac:dyDescent="0.35">
      <c r="E158" s="223"/>
      <c r="N158" s="40"/>
      <c r="O158" s="40"/>
      <c r="P158" s="40"/>
      <c r="Q158" s="39" t="str">
        <f t="shared" si="60"/>
        <v/>
      </c>
      <c r="R158" s="38" t="str">
        <f t="shared" si="61"/>
        <v/>
      </c>
      <c r="S158" s="38" t="str">
        <f t="shared" si="62"/>
        <v/>
      </c>
      <c r="T158" s="147">
        <v>259.72000000000003</v>
      </c>
      <c r="U158" s="147">
        <v>560.52</v>
      </c>
      <c r="V158" s="147">
        <v>611.41999999999996</v>
      </c>
      <c r="W158" s="38" t="str">
        <f t="shared" si="56"/>
        <v/>
      </c>
      <c r="X158" s="217" t="str">
        <f>IF(E158="","",IF(R158&gt;0,MIN(Att1SmallCarriers[[#This Row],[2023 Maximum Government Contribution
Self+1]],ROUND(R158*0.75,2)),"New Option"))</f>
        <v/>
      </c>
      <c r="Y158" s="217" t="str">
        <f>IF(E158="","",IF(S158&gt;0,MIN(Att1SmallCarriers[[#This Row],[2023 Maximum Government Contribution
Family]],ROUND(S158*0.75,2)),"New Option"))</f>
        <v/>
      </c>
      <c r="Z158" s="38" t="str">
        <f t="shared" si="63"/>
        <v/>
      </c>
      <c r="AA158" s="38" t="str">
        <f t="shared" si="64"/>
        <v/>
      </c>
      <c r="AB158" s="38" t="str">
        <f t="shared" si="65"/>
        <v/>
      </c>
      <c r="AC158" s="38" t="str">
        <f t="shared" si="66"/>
        <v/>
      </c>
      <c r="AD158" s="38" t="str">
        <f t="shared" si="67"/>
        <v/>
      </c>
      <c r="AE158" s="38" t="str">
        <f t="shared" si="68"/>
        <v/>
      </c>
      <c r="AF158" s="89">
        <f>ROUND(Att1SmallCarriers[[#This Row],[2023 Maximum Government Contribution
Self]]*(1+$B$14),2)</f>
        <v>259.72000000000003</v>
      </c>
      <c r="AG158" s="89">
        <f>ROUND(Att1SmallCarriers[[#This Row],[2023 Maximum Government Contribution
Self+1]]*(1+$B$14),2)</f>
        <v>560.52</v>
      </c>
      <c r="AH158" s="89">
        <f>ROUND(Att1SmallCarriers[[#This Row],[2023 Maximum Government Contribution
Family]]*(1+$B$14),2)</f>
        <v>611.41999999999996</v>
      </c>
      <c r="AI158" s="217" t="str">
        <f>IF(E158="","",MIN(Att1SmallCarriers[[#This Row],[ESTIMATED 2024 Maximum Government Contribution
Self]],ROUND(AC158*0.75,2)))</f>
        <v/>
      </c>
      <c r="AJ158" s="217" t="str">
        <f>IF(E158="","",MIN(Att1SmallCarriers[[#This Row],[ESTIMATED 2024 Maximum Government Contribution
Self+1]],ROUND(AD158*0.75,2)))</f>
        <v/>
      </c>
      <c r="AK158" s="217" t="str">
        <f>IF(E158="","",MIN(Att1SmallCarriers[[#This Row],[ESTIMATED 2024 Maximum Government Contribution
Family]],ROUND(AE158*0.75,2)))</f>
        <v/>
      </c>
      <c r="AL158" s="38" t="str">
        <f t="shared" si="69"/>
        <v/>
      </c>
      <c r="AM158" s="38" t="str">
        <f t="shared" si="70"/>
        <v/>
      </c>
      <c r="AN158" s="38" t="str">
        <f t="shared" si="71"/>
        <v/>
      </c>
      <c r="AO158" s="218" t="str">
        <f t="shared" si="57"/>
        <v/>
      </c>
      <c r="AP158" s="218" t="str">
        <f t="shared" si="58"/>
        <v/>
      </c>
      <c r="AQ158" s="218" t="str">
        <f t="shared" si="59"/>
        <v/>
      </c>
    </row>
    <row r="159" spans="5:43" ht="15.5" x14ac:dyDescent="0.35">
      <c r="E159" s="223"/>
      <c r="N159" s="40"/>
      <c r="O159" s="40"/>
      <c r="P159" s="40"/>
      <c r="Q159" s="39" t="str">
        <f t="shared" si="60"/>
        <v/>
      </c>
      <c r="R159" s="38" t="str">
        <f t="shared" si="61"/>
        <v/>
      </c>
      <c r="S159" s="38" t="str">
        <f t="shared" si="62"/>
        <v/>
      </c>
      <c r="T159" s="147">
        <v>259.72000000000003</v>
      </c>
      <c r="U159" s="147">
        <v>560.52</v>
      </c>
      <c r="V159" s="147">
        <v>611.41999999999996</v>
      </c>
      <c r="W159" s="38" t="str">
        <f t="shared" si="56"/>
        <v/>
      </c>
      <c r="X159" s="217" t="str">
        <f>IF(E159="","",IF(R159&gt;0,MIN(Att1SmallCarriers[[#This Row],[2023 Maximum Government Contribution
Self+1]],ROUND(R159*0.75,2)),"New Option"))</f>
        <v/>
      </c>
      <c r="Y159" s="217" t="str">
        <f>IF(E159="","",IF(S159&gt;0,MIN(Att1SmallCarriers[[#This Row],[2023 Maximum Government Contribution
Family]],ROUND(S159*0.75,2)),"New Option"))</f>
        <v/>
      </c>
      <c r="Z159" s="38" t="str">
        <f t="shared" si="63"/>
        <v/>
      </c>
      <c r="AA159" s="38" t="str">
        <f t="shared" si="64"/>
        <v/>
      </c>
      <c r="AB159" s="38" t="str">
        <f t="shared" si="65"/>
        <v/>
      </c>
      <c r="AC159" s="38" t="str">
        <f t="shared" si="66"/>
        <v/>
      </c>
      <c r="AD159" s="38" t="str">
        <f t="shared" si="67"/>
        <v/>
      </c>
      <c r="AE159" s="38" t="str">
        <f t="shared" si="68"/>
        <v/>
      </c>
      <c r="AF159" s="89">
        <f>ROUND(Att1SmallCarriers[[#This Row],[2023 Maximum Government Contribution
Self]]*(1+$B$14),2)</f>
        <v>259.72000000000003</v>
      </c>
      <c r="AG159" s="89">
        <f>ROUND(Att1SmallCarriers[[#This Row],[2023 Maximum Government Contribution
Self+1]]*(1+$B$14),2)</f>
        <v>560.52</v>
      </c>
      <c r="AH159" s="89">
        <f>ROUND(Att1SmallCarriers[[#This Row],[2023 Maximum Government Contribution
Family]]*(1+$B$14),2)</f>
        <v>611.41999999999996</v>
      </c>
      <c r="AI159" s="217" t="str">
        <f>IF(E159="","",MIN(Att1SmallCarriers[[#This Row],[ESTIMATED 2024 Maximum Government Contribution
Self]],ROUND(AC159*0.75,2)))</f>
        <v/>
      </c>
      <c r="AJ159" s="217" t="str">
        <f>IF(E159="","",MIN(Att1SmallCarriers[[#This Row],[ESTIMATED 2024 Maximum Government Contribution
Self+1]],ROUND(AD159*0.75,2)))</f>
        <v/>
      </c>
      <c r="AK159" s="217" t="str">
        <f>IF(E159="","",MIN(Att1SmallCarriers[[#This Row],[ESTIMATED 2024 Maximum Government Contribution
Family]],ROUND(AE159*0.75,2)))</f>
        <v/>
      </c>
      <c r="AL159" s="38" t="str">
        <f t="shared" si="69"/>
        <v/>
      </c>
      <c r="AM159" s="38" t="str">
        <f t="shared" si="70"/>
        <v/>
      </c>
      <c r="AN159" s="38" t="str">
        <f t="shared" si="71"/>
        <v/>
      </c>
      <c r="AO159" s="218" t="str">
        <f t="shared" si="57"/>
        <v/>
      </c>
      <c r="AP159" s="218" t="str">
        <f t="shared" si="58"/>
        <v/>
      </c>
      <c r="AQ159" s="218" t="str">
        <f t="shared" si="59"/>
        <v/>
      </c>
    </row>
    <row r="160" spans="5:43" ht="15.5" x14ac:dyDescent="0.35">
      <c r="E160" s="223"/>
      <c r="N160" s="40"/>
      <c r="O160" s="40"/>
      <c r="P160" s="40"/>
      <c r="Q160" s="39" t="str">
        <f t="shared" si="60"/>
        <v/>
      </c>
      <c r="R160" s="38" t="str">
        <f t="shared" si="61"/>
        <v/>
      </c>
      <c r="S160" s="38" t="str">
        <f t="shared" si="62"/>
        <v/>
      </c>
      <c r="T160" s="147">
        <v>259.72000000000003</v>
      </c>
      <c r="U160" s="147">
        <v>560.52</v>
      </c>
      <c r="V160" s="147">
        <v>611.41999999999996</v>
      </c>
      <c r="W160" s="38" t="str">
        <f t="shared" si="56"/>
        <v/>
      </c>
      <c r="X160" s="217" t="str">
        <f>IF(E160="","",IF(R160&gt;0,MIN(Att1SmallCarriers[[#This Row],[2023 Maximum Government Contribution
Self+1]],ROUND(R160*0.75,2)),"New Option"))</f>
        <v/>
      </c>
      <c r="Y160" s="217" t="str">
        <f>IF(E160="","",IF(S160&gt;0,MIN(Att1SmallCarriers[[#This Row],[2023 Maximum Government Contribution
Family]],ROUND(S160*0.75,2)),"New Option"))</f>
        <v/>
      </c>
      <c r="Z160" s="38" t="str">
        <f t="shared" si="63"/>
        <v/>
      </c>
      <c r="AA160" s="38" t="str">
        <f t="shared" si="64"/>
        <v/>
      </c>
      <c r="AB160" s="38" t="str">
        <f t="shared" si="65"/>
        <v/>
      </c>
      <c r="AC160" s="38" t="str">
        <f t="shared" si="66"/>
        <v/>
      </c>
      <c r="AD160" s="38" t="str">
        <f t="shared" si="67"/>
        <v/>
      </c>
      <c r="AE160" s="38" t="str">
        <f t="shared" si="68"/>
        <v/>
      </c>
      <c r="AF160" s="89">
        <f>ROUND(Att1SmallCarriers[[#This Row],[2023 Maximum Government Contribution
Self]]*(1+$B$14),2)</f>
        <v>259.72000000000003</v>
      </c>
      <c r="AG160" s="89">
        <f>ROUND(Att1SmallCarriers[[#This Row],[2023 Maximum Government Contribution
Self+1]]*(1+$B$14),2)</f>
        <v>560.52</v>
      </c>
      <c r="AH160" s="89">
        <f>ROUND(Att1SmallCarriers[[#This Row],[2023 Maximum Government Contribution
Family]]*(1+$B$14),2)</f>
        <v>611.41999999999996</v>
      </c>
      <c r="AI160" s="217" t="str">
        <f>IF(E160="","",MIN(Att1SmallCarriers[[#This Row],[ESTIMATED 2024 Maximum Government Contribution
Self]],ROUND(AC160*0.75,2)))</f>
        <v/>
      </c>
      <c r="AJ160" s="217" t="str">
        <f>IF(E160="","",MIN(Att1SmallCarriers[[#This Row],[ESTIMATED 2024 Maximum Government Contribution
Self+1]],ROUND(AD160*0.75,2)))</f>
        <v/>
      </c>
      <c r="AK160" s="217" t="str">
        <f>IF(E160="","",MIN(Att1SmallCarriers[[#This Row],[ESTIMATED 2024 Maximum Government Contribution
Family]],ROUND(AE160*0.75,2)))</f>
        <v/>
      </c>
      <c r="AL160" s="38" t="str">
        <f t="shared" si="69"/>
        <v/>
      </c>
      <c r="AM160" s="38" t="str">
        <f t="shared" si="70"/>
        <v/>
      </c>
      <c r="AN160" s="38" t="str">
        <f t="shared" si="71"/>
        <v/>
      </c>
      <c r="AO160" s="218" t="str">
        <f t="shared" si="57"/>
        <v/>
      </c>
      <c r="AP160" s="218" t="str">
        <f t="shared" si="58"/>
        <v/>
      </c>
      <c r="AQ160" s="218" t="str">
        <f t="shared" si="59"/>
        <v/>
      </c>
    </row>
    <row r="161" spans="5:43" ht="15.5" x14ac:dyDescent="0.35">
      <c r="E161" s="223"/>
      <c r="N161" s="40"/>
      <c r="O161" s="40"/>
      <c r="P161" s="40"/>
      <c r="Q161" s="39" t="str">
        <f t="shared" si="60"/>
        <v/>
      </c>
      <c r="R161" s="38" t="str">
        <f t="shared" si="61"/>
        <v/>
      </c>
      <c r="S161" s="38" t="str">
        <f t="shared" si="62"/>
        <v/>
      </c>
      <c r="T161" s="147">
        <v>259.72000000000003</v>
      </c>
      <c r="U161" s="147">
        <v>560.52</v>
      </c>
      <c r="V161" s="147">
        <v>611.41999999999996</v>
      </c>
      <c r="W161" s="38" t="str">
        <f t="shared" si="56"/>
        <v/>
      </c>
      <c r="X161" s="217" t="str">
        <f>IF(E161="","",IF(R161&gt;0,MIN(Att1SmallCarriers[[#This Row],[2023 Maximum Government Contribution
Self+1]],ROUND(R161*0.75,2)),"New Option"))</f>
        <v/>
      </c>
      <c r="Y161" s="217" t="str">
        <f>IF(E161="","",IF(S161&gt;0,MIN(Att1SmallCarriers[[#This Row],[2023 Maximum Government Contribution
Family]],ROUND(S161*0.75,2)),"New Option"))</f>
        <v/>
      </c>
      <c r="Z161" s="38" t="str">
        <f t="shared" si="63"/>
        <v/>
      </c>
      <c r="AA161" s="38" t="str">
        <f t="shared" si="64"/>
        <v/>
      </c>
      <c r="AB161" s="38" t="str">
        <f t="shared" si="65"/>
        <v/>
      </c>
      <c r="AC161" s="38" t="str">
        <f t="shared" si="66"/>
        <v/>
      </c>
      <c r="AD161" s="38" t="str">
        <f t="shared" si="67"/>
        <v/>
      </c>
      <c r="AE161" s="38" t="str">
        <f t="shared" si="68"/>
        <v/>
      </c>
      <c r="AF161" s="89">
        <f>ROUND(Att1SmallCarriers[[#This Row],[2023 Maximum Government Contribution
Self]]*(1+$B$14),2)</f>
        <v>259.72000000000003</v>
      </c>
      <c r="AG161" s="89">
        <f>ROUND(Att1SmallCarriers[[#This Row],[2023 Maximum Government Contribution
Self+1]]*(1+$B$14),2)</f>
        <v>560.52</v>
      </c>
      <c r="AH161" s="89">
        <f>ROUND(Att1SmallCarriers[[#This Row],[2023 Maximum Government Contribution
Family]]*(1+$B$14),2)</f>
        <v>611.41999999999996</v>
      </c>
      <c r="AI161" s="217" t="str">
        <f>IF(E161="","",MIN(Att1SmallCarriers[[#This Row],[ESTIMATED 2024 Maximum Government Contribution
Self]],ROUND(AC161*0.75,2)))</f>
        <v/>
      </c>
      <c r="AJ161" s="217" t="str">
        <f>IF(E161="","",MIN(Att1SmallCarriers[[#This Row],[ESTIMATED 2024 Maximum Government Contribution
Self+1]],ROUND(AD161*0.75,2)))</f>
        <v/>
      </c>
      <c r="AK161" s="217" t="str">
        <f>IF(E161="","",MIN(Att1SmallCarriers[[#This Row],[ESTIMATED 2024 Maximum Government Contribution
Family]],ROUND(AE161*0.75,2)))</f>
        <v/>
      </c>
      <c r="AL161" s="38" t="str">
        <f t="shared" si="69"/>
        <v/>
      </c>
      <c r="AM161" s="38" t="str">
        <f t="shared" si="70"/>
        <v/>
      </c>
      <c r="AN161" s="38" t="str">
        <f t="shared" si="71"/>
        <v/>
      </c>
      <c r="AO161" s="218" t="str">
        <f t="shared" si="57"/>
        <v/>
      </c>
      <c r="AP161" s="218" t="str">
        <f t="shared" si="58"/>
        <v/>
      </c>
      <c r="AQ161" s="218" t="str">
        <f t="shared" si="59"/>
        <v/>
      </c>
    </row>
    <row r="162" spans="5:43" ht="15.5" x14ac:dyDescent="0.35">
      <c r="E162" s="223"/>
      <c r="N162" s="40"/>
      <c r="O162" s="40"/>
      <c r="P162" s="40"/>
      <c r="Q162" s="39" t="str">
        <f t="shared" si="60"/>
        <v/>
      </c>
      <c r="R162" s="38" t="str">
        <f t="shared" si="61"/>
        <v/>
      </c>
      <c r="S162" s="38" t="str">
        <f t="shared" si="62"/>
        <v/>
      </c>
      <c r="T162" s="147">
        <v>259.72000000000003</v>
      </c>
      <c r="U162" s="147">
        <v>560.52</v>
      </c>
      <c r="V162" s="147">
        <v>611.41999999999996</v>
      </c>
      <c r="W162" s="38" t="str">
        <f t="shared" si="56"/>
        <v/>
      </c>
      <c r="X162" s="217" t="str">
        <f>IF(E162="","",IF(R162&gt;0,MIN(Att1SmallCarriers[[#This Row],[2023 Maximum Government Contribution
Self+1]],ROUND(R162*0.75,2)),"New Option"))</f>
        <v/>
      </c>
      <c r="Y162" s="217" t="str">
        <f>IF(E162="","",IF(S162&gt;0,MIN(Att1SmallCarriers[[#This Row],[2023 Maximum Government Contribution
Family]],ROUND(S162*0.75,2)),"New Option"))</f>
        <v/>
      </c>
      <c r="Z162" s="38" t="str">
        <f t="shared" si="63"/>
        <v/>
      </c>
      <c r="AA162" s="38" t="str">
        <f t="shared" si="64"/>
        <v/>
      </c>
      <c r="AB162" s="38" t="str">
        <f t="shared" si="65"/>
        <v/>
      </c>
      <c r="AC162" s="38" t="str">
        <f t="shared" si="66"/>
        <v/>
      </c>
      <c r="AD162" s="38" t="str">
        <f t="shared" si="67"/>
        <v/>
      </c>
      <c r="AE162" s="38" t="str">
        <f t="shared" si="68"/>
        <v/>
      </c>
      <c r="AF162" s="89">
        <f>ROUND(Att1SmallCarriers[[#This Row],[2023 Maximum Government Contribution
Self]]*(1+$B$14),2)</f>
        <v>259.72000000000003</v>
      </c>
      <c r="AG162" s="89">
        <f>ROUND(Att1SmallCarriers[[#This Row],[2023 Maximum Government Contribution
Self+1]]*(1+$B$14),2)</f>
        <v>560.52</v>
      </c>
      <c r="AH162" s="89">
        <f>ROUND(Att1SmallCarriers[[#This Row],[2023 Maximum Government Contribution
Family]]*(1+$B$14),2)</f>
        <v>611.41999999999996</v>
      </c>
      <c r="AI162" s="217" t="str">
        <f>IF(E162="","",MIN(Att1SmallCarriers[[#This Row],[ESTIMATED 2024 Maximum Government Contribution
Self]],ROUND(AC162*0.75,2)))</f>
        <v/>
      </c>
      <c r="AJ162" s="217" t="str">
        <f>IF(E162="","",MIN(Att1SmallCarriers[[#This Row],[ESTIMATED 2024 Maximum Government Contribution
Self+1]],ROUND(AD162*0.75,2)))</f>
        <v/>
      </c>
      <c r="AK162" s="217" t="str">
        <f>IF(E162="","",MIN(Att1SmallCarriers[[#This Row],[ESTIMATED 2024 Maximum Government Contribution
Family]],ROUND(AE162*0.75,2)))</f>
        <v/>
      </c>
      <c r="AL162" s="38" t="str">
        <f t="shared" si="69"/>
        <v/>
      </c>
      <c r="AM162" s="38" t="str">
        <f t="shared" si="70"/>
        <v/>
      </c>
      <c r="AN162" s="38" t="str">
        <f t="shared" si="71"/>
        <v/>
      </c>
      <c r="AO162" s="218" t="str">
        <f t="shared" si="57"/>
        <v/>
      </c>
      <c r="AP162" s="218" t="str">
        <f t="shared" si="58"/>
        <v/>
      </c>
      <c r="AQ162" s="218" t="str">
        <f t="shared" si="59"/>
        <v/>
      </c>
    </row>
    <row r="163" spans="5:43" ht="15.5" x14ac:dyDescent="0.35">
      <c r="E163" s="223"/>
      <c r="N163" s="40"/>
      <c r="O163" s="40"/>
      <c r="P163" s="40"/>
      <c r="Q163" s="39" t="str">
        <f t="shared" si="60"/>
        <v/>
      </c>
      <c r="R163" s="38" t="str">
        <f t="shared" si="61"/>
        <v/>
      </c>
      <c r="S163" s="38" t="str">
        <f t="shared" si="62"/>
        <v/>
      </c>
      <c r="T163" s="147">
        <v>259.72000000000003</v>
      </c>
      <c r="U163" s="147">
        <v>560.52</v>
      </c>
      <c r="V163" s="147">
        <v>611.41999999999996</v>
      </c>
      <c r="W163" s="38" t="str">
        <f t="shared" si="56"/>
        <v/>
      </c>
      <c r="X163" s="217" t="str">
        <f>IF(E163="","",IF(R163&gt;0,MIN(Att1SmallCarriers[[#This Row],[2023 Maximum Government Contribution
Self+1]],ROUND(R163*0.75,2)),"New Option"))</f>
        <v/>
      </c>
      <c r="Y163" s="217" t="str">
        <f>IF(E163="","",IF(S163&gt;0,MIN(Att1SmallCarriers[[#This Row],[2023 Maximum Government Contribution
Family]],ROUND(S163*0.75,2)),"New Option"))</f>
        <v/>
      </c>
      <c r="Z163" s="38" t="str">
        <f t="shared" si="63"/>
        <v/>
      </c>
      <c r="AA163" s="38" t="str">
        <f t="shared" si="64"/>
        <v/>
      </c>
      <c r="AB163" s="38" t="str">
        <f t="shared" si="65"/>
        <v/>
      </c>
      <c r="AC163" s="38" t="str">
        <f t="shared" si="66"/>
        <v/>
      </c>
      <c r="AD163" s="38" t="str">
        <f t="shared" si="67"/>
        <v/>
      </c>
      <c r="AE163" s="38" t="str">
        <f t="shared" si="68"/>
        <v/>
      </c>
      <c r="AF163" s="89">
        <f>ROUND(Att1SmallCarriers[[#This Row],[2023 Maximum Government Contribution
Self]]*(1+$B$14),2)</f>
        <v>259.72000000000003</v>
      </c>
      <c r="AG163" s="89">
        <f>ROUND(Att1SmallCarriers[[#This Row],[2023 Maximum Government Contribution
Self+1]]*(1+$B$14),2)</f>
        <v>560.52</v>
      </c>
      <c r="AH163" s="89">
        <f>ROUND(Att1SmallCarriers[[#This Row],[2023 Maximum Government Contribution
Family]]*(1+$B$14),2)</f>
        <v>611.41999999999996</v>
      </c>
      <c r="AI163" s="217" t="str">
        <f>IF(E163="","",MIN(Att1SmallCarriers[[#This Row],[ESTIMATED 2024 Maximum Government Contribution
Self]],ROUND(AC163*0.75,2)))</f>
        <v/>
      </c>
      <c r="AJ163" s="217" t="str">
        <f>IF(E163="","",MIN(Att1SmallCarriers[[#This Row],[ESTIMATED 2024 Maximum Government Contribution
Self+1]],ROUND(AD163*0.75,2)))</f>
        <v/>
      </c>
      <c r="AK163" s="217" t="str">
        <f>IF(E163="","",MIN(Att1SmallCarriers[[#This Row],[ESTIMATED 2024 Maximum Government Contribution
Family]],ROUND(AE163*0.75,2)))</f>
        <v/>
      </c>
      <c r="AL163" s="38" t="str">
        <f t="shared" si="69"/>
        <v/>
      </c>
      <c r="AM163" s="38" t="str">
        <f t="shared" si="70"/>
        <v/>
      </c>
      <c r="AN163" s="38" t="str">
        <f t="shared" si="71"/>
        <v/>
      </c>
      <c r="AO163" s="218" t="str">
        <f t="shared" si="57"/>
        <v/>
      </c>
      <c r="AP163" s="218" t="str">
        <f t="shared" si="58"/>
        <v/>
      </c>
      <c r="AQ163" s="218" t="str">
        <f t="shared" si="59"/>
        <v/>
      </c>
    </row>
    <row r="164" spans="5:43" ht="15.5" x14ac:dyDescent="0.35">
      <c r="E164" s="223"/>
      <c r="N164" s="40"/>
      <c r="O164" s="40"/>
      <c r="P164" s="40"/>
      <c r="Q164" s="39" t="str">
        <f t="shared" si="60"/>
        <v/>
      </c>
      <c r="R164" s="38" t="str">
        <f t="shared" si="61"/>
        <v/>
      </c>
      <c r="S164" s="38" t="str">
        <f t="shared" si="62"/>
        <v/>
      </c>
      <c r="T164" s="147">
        <v>259.72000000000003</v>
      </c>
      <c r="U164" s="147">
        <v>560.52</v>
      </c>
      <c r="V164" s="147">
        <v>611.41999999999996</v>
      </c>
      <c r="W164" s="38" t="str">
        <f t="shared" si="56"/>
        <v/>
      </c>
      <c r="X164" s="217" t="str">
        <f>IF(E164="","",IF(R164&gt;0,MIN(Att1SmallCarriers[[#This Row],[2023 Maximum Government Contribution
Self+1]],ROUND(R164*0.75,2)),"New Option"))</f>
        <v/>
      </c>
      <c r="Y164" s="217" t="str">
        <f>IF(E164="","",IF(S164&gt;0,MIN(Att1SmallCarriers[[#This Row],[2023 Maximum Government Contribution
Family]],ROUND(S164*0.75,2)),"New Option"))</f>
        <v/>
      </c>
      <c r="Z164" s="38" t="str">
        <f t="shared" si="63"/>
        <v/>
      </c>
      <c r="AA164" s="38" t="str">
        <f t="shared" si="64"/>
        <v/>
      </c>
      <c r="AB164" s="38" t="str">
        <f t="shared" si="65"/>
        <v/>
      </c>
      <c r="AC164" s="38" t="str">
        <f t="shared" si="66"/>
        <v/>
      </c>
      <c r="AD164" s="38" t="str">
        <f t="shared" si="67"/>
        <v/>
      </c>
      <c r="AE164" s="38" t="str">
        <f t="shared" si="68"/>
        <v/>
      </c>
      <c r="AF164" s="89">
        <f>ROUND(Att1SmallCarriers[[#This Row],[2023 Maximum Government Contribution
Self]]*(1+$B$14),2)</f>
        <v>259.72000000000003</v>
      </c>
      <c r="AG164" s="89">
        <f>ROUND(Att1SmallCarriers[[#This Row],[2023 Maximum Government Contribution
Self+1]]*(1+$B$14),2)</f>
        <v>560.52</v>
      </c>
      <c r="AH164" s="89">
        <f>ROUND(Att1SmallCarriers[[#This Row],[2023 Maximum Government Contribution
Family]]*(1+$B$14),2)</f>
        <v>611.41999999999996</v>
      </c>
      <c r="AI164" s="217" t="str">
        <f>IF(E164="","",MIN(Att1SmallCarriers[[#This Row],[ESTIMATED 2024 Maximum Government Contribution
Self]],ROUND(AC164*0.75,2)))</f>
        <v/>
      </c>
      <c r="AJ164" s="217" t="str">
        <f>IF(E164="","",MIN(Att1SmallCarriers[[#This Row],[ESTIMATED 2024 Maximum Government Contribution
Self+1]],ROUND(AD164*0.75,2)))</f>
        <v/>
      </c>
      <c r="AK164" s="217" t="str">
        <f>IF(E164="","",MIN(Att1SmallCarriers[[#This Row],[ESTIMATED 2024 Maximum Government Contribution
Family]],ROUND(AE164*0.75,2)))</f>
        <v/>
      </c>
      <c r="AL164" s="38" t="str">
        <f t="shared" si="69"/>
        <v/>
      </c>
      <c r="AM164" s="38" t="str">
        <f t="shared" si="70"/>
        <v/>
      </c>
      <c r="AN164" s="38" t="str">
        <f t="shared" si="71"/>
        <v/>
      </c>
      <c r="AO164" s="218" t="str">
        <f t="shared" si="57"/>
        <v/>
      </c>
      <c r="AP164" s="218" t="str">
        <f t="shared" si="58"/>
        <v/>
      </c>
      <c r="AQ164" s="218" t="str">
        <f t="shared" si="59"/>
        <v/>
      </c>
    </row>
    <row r="165" spans="5:43" ht="15.5" x14ac:dyDescent="0.35">
      <c r="E165" s="223"/>
      <c r="N165" s="40"/>
      <c r="O165" s="40"/>
      <c r="P165" s="40"/>
      <c r="Q165" s="39" t="str">
        <f t="shared" si="60"/>
        <v/>
      </c>
      <c r="R165" s="38" t="str">
        <f t="shared" si="61"/>
        <v/>
      </c>
      <c r="S165" s="38" t="str">
        <f t="shared" si="62"/>
        <v/>
      </c>
      <c r="T165" s="147">
        <v>259.72000000000003</v>
      </c>
      <c r="U165" s="147">
        <v>560.52</v>
      </c>
      <c r="V165" s="147">
        <v>611.41999999999996</v>
      </c>
      <c r="W165" s="38" t="str">
        <f t="shared" si="56"/>
        <v/>
      </c>
      <c r="X165" s="217" t="str">
        <f>IF(E165="","",IF(R165&gt;0,MIN(Att1SmallCarriers[[#This Row],[2023 Maximum Government Contribution
Self+1]],ROUND(R165*0.75,2)),"New Option"))</f>
        <v/>
      </c>
      <c r="Y165" s="217" t="str">
        <f>IF(E165="","",IF(S165&gt;0,MIN(Att1SmallCarriers[[#This Row],[2023 Maximum Government Contribution
Family]],ROUND(S165*0.75,2)),"New Option"))</f>
        <v/>
      </c>
      <c r="Z165" s="38" t="str">
        <f t="shared" si="63"/>
        <v/>
      </c>
      <c r="AA165" s="38" t="str">
        <f t="shared" si="64"/>
        <v/>
      </c>
      <c r="AB165" s="38" t="str">
        <f t="shared" si="65"/>
        <v/>
      </c>
      <c r="AC165" s="38" t="str">
        <f t="shared" si="66"/>
        <v/>
      </c>
      <c r="AD165" s="38" t="str">
        <f t="shared" si="67"/>
        <v/>
      </c>
      <c r="AE165" s="38" t="str">
        <f t="shared" si="68"/>
        <v/>
      </c>
      <c r="AF165" s="89">
        <f>ROUND(Att1SmallCarriers[[#This Row],[2023 Maximum Government Contribution
Self]]*(1+$B$14),2)</f>
        <v>259.72000000000003</v>
      </c>
      <c r="AG165" s="89">
        <f>ROUND(Att1SmallCarriers[[#This Row],[2023 Maximum Government Contribution
Self+1]]*(1+$B$14),2)</f>
        <v>560.52</v>
      </c>
      <c r="AH165" s="89">
        <f>ROUND(Att1SmallCarriers[[#This Row],[2023 Maximum Government Contribution
Family]]*(1+$B$14),2)</f>
        <v>611.41999999999996</v>
      </c>
      <c r="AI165" s="217" t="str">
        <f>IF(E165="","",MIN(Att1SmallCarriers[[#This Row],[ESTIMATED 2024 Maximum Government Contribution
Self]],ROUND(AC165*0.75,2)))</f>
        <v/>
      </c>
      <c r="AJ165" s="217" t="str">
        <f>IF(E165="","",MIN(Att1SmallCarriers[[#This Row],[ESTIMATED 2024 Maximum Government Contribution
Self+1]],ROUND(AD165*0.75,2)))</f>
        <v/>
      </c>
      <c r="AK165" s="217" t="str">
        <f>IF(E165="","",MIN(Att1SmallCarriers[[#This Row],[ESTIMATED 2024 Maximum Government Contribution
Family]],ROUND(AE165*0.75,2)))</f>
        <v/>
      </c>
      <c r="AL165" s="38" t="str">
        <f t="shared" si="69"/>
        <v/>
      </c>
      <c r="AM165" s="38" t="str">
        <f t="shared" si="70"/>
        <v/>
      </c>
      <c r="AN165" s="38" t="str">
        <f t="shared" si="71"/>
        <v/>
      </c>
      <c r="AO165" s="218" t="str">
        <f t="shared" si="57"/>
        <v/>
      </c>
      <c r="AP165" s="218" t="str">
        <f t="shared" si="58"/>
        <v/>
      </c>
      <c r="AQ165" s="218" t="str">
        <f t="shared" si="59"/>
        <v/>
      </c>
    </row>
    <row r="166" spans="5:43" ht="15.5" x14ac:dyDescent="0.35">
      <c r="E166" s="223"/>
      <c r="N166" s="40"/>
      <c r="O166" s="40"/>
      <c r="P166" s="40"/>
      <c r="Q166" s="39" t="str">
        <f t="shared" si="60"/>
        <v/>
      </c>
      <c r="R166" s="38" t="str">
        <f t="shared" si="61"/>
        <v/>
      </c>
      <c r="S166" s="38" t="str">
        <f t="shared" si="62"/>
        <v/>
      </c>
      <c r="T166" s="147">
        <v>259.72000000000003</v>
      </c>
      <c r="U166" s="147">
        <v>560.52</v>
      </c>
      <c r="V166" s="147">
        <v>611.41999999999996</v>
      </c>
      <c r="W166" s="38" t="str">
        <f t="shared" si="56"/>
        <v/>
      </c>
      <c r="X166" s="217" t="str">
        <f>IF(E166="","",IF(R166&gt;0,MIN(Att1SmallCarriers[[#This Row],[2023 Maximum Government Contribution
Self+1]],ROUND(R166*0.75,2)),"New Option"))</f>
        <v/>
      </c>
      <c r="Y166" s="217" t="str">
        <f>IF(E166="","",IF(S166&gt;0,MIN(Att1SmallCarriers[[#This Row],[2023 Maximum Government Contribution
Family]],ROUND(S166*0.75,2)),"New Option"))</f>
        <v/>
      </c>
      <c r="Z166" s="38" t="str">
        <f t="shared" si="63"/>
        <v/>
      </c>
      <c r="AA166" s="38" t="str">
        <f t="shared" si="64"/>
        <v/>
      </c>
      <c r="AB166" s="38" t="str">
        <f t="shared" si="65"/>
        <v/>
      </c>
      <c r="AC166" s="38" t="str">
        <f t="shared" si="66"/>
        <v/>
      </c>
      <c r="AD166" s="38" t="str">
        <f t="shared" si="67"/>
        <v/>
      </c>
      <c r="AE166" s="38" t="str">
        <f t="shared" si="68"/>
        <v/>
      </c>
      <c r="AF166" s="89">
        <f>ROUND(Att1SmallCarriers[[#This Row],[2023 Maximum Government Contribution
Self]]*(1+$B$14),2)</f>
        <v>259.72000000000003</v>
      </c>
      <c r="AG166" s="89">
        <f>ROUND(Att1SmallCarriers[[#This Row],[2023 Maximum Government Contribution
Self+1]]*(1+$B$14),2)</f>
        <v>560.52</v>
      </c>
      <c r="AH166" s="89">
        <f>ROUND(Att1SmallCarriers[[#This Row],[2023 Maximum Government Contribution
Family]]*(1+$B$14),2)</f>
        <v>611.41999999999996</v>
      </c>
      <c r="AI166" s="217" t="str">
        <f>IF(E166="","",MIN(Att1SmallCarriers[[#This Row],[ESTIMATED 2024 Maximum Government Contribution
Self]],ROUND(AC166*0.75,2)))</f>
        <v/>
      </c>
      <c r="AJ166" s="217" t="str">
        <f>IF(E166="","",MIN(Att1SmallCarriers[[#This Row],[ESTIMATED 2024 Maximum Government Contribution
Self+1]],ROUND(AD166*0.75,2)))</f>
        <v/>
      </c>
      <c r="AK166" s="217" t="str">
        <f>IF(E166="","",MIN(Att1SmallCarriers[[#This Row],[ESTIMATED 2024 Maximum Government Contribution
Family]],ROUND(AE166*0.75,2)))</f>
        <v/>
      </c>
      <c r="AL166" s="38" t="str">
        <f t="shared" si="69"/>
        <v/>
      </c>
      <c r="AM166" s="38" t="str">
        <f t="shared" si="70"/>
        <v/>
      </c>
      <c r="AN166" s="38" t="str">
        <f t="shared" si="71"/>
        <v/>
      </c>
      <c r="AO166" s="218" t="str">
        <f t="shared" si="57"/>
        <v/>
      </c>
      <c r="AP166" s="218" t="str">
        <f t="shared" si="58"/>
        <v/>
      </c>
      <c r="AQ166" s="218" t="str">
        <f t="shared" si="59"/>
        <v/>
      </c>
    </row>
    <row r="167" spans="5:43" ht="15.5" x14ac:dyDescent="0.35">
      <c r="E167" s="223"/>
      <c r="N167" s="40"/>
      <c r="O167" s="40"/>
      <c r="P167" s="40"/>
      <c r="Q167" s="39" t="str">
        <f t="shared" si="60"/>
        <v/>
      </c>
      <c r="R167" s="38" t="str">
        <f t="shared" si="61"/>
        <v/>
      </c>
      <c r="S167" s="38" t="str">
        <f t="shared" si="62"/>
        <v/>
      </c>
      <c r="T167" s="147">
        <v>259.72000000000003</v>
      </c>
      <c r="U167" s="147">
        <v>560.52</v>
      </c>
      <c r="V167" s="147">
        <v>611.41999999999996</v>
      </c>
      <c r="W167" s="38" t="str">
        <f t="shared" si="56"/>
        <v/>
      </c>
      <c r="X167" s="217" t="str">
        <f>IF(E167="","",IF(R167&gt;0,MIN(Att1SmallCarriers[[#This Row],[2023 Maximum Government Contribution
Self+1]],ROUND(R167*0.75,2)),"New Option"))</f>
        <v/>
      </c>
      <c r="Y167" s="217" t="str">
        <f>IF(E167="","",IF(S167&gt;0,MIN(Att1SmallCarriers[[#This Row],[2023 Maximum Government Contribution
Family]],ROUND(S167*0.75,2)),"New Option"))</f>
        <v/>
      </c>
      <c r="Z167" s="38" t="str">
        <f t="shared" si="63"/>
        <v/>
      </c>
      <c r="AA167" s="38" t="str">
        <f t="shared" si="64"/>
        <v/>
      </c>
      <c r="AB167" s="38" t="str">
        <f t="shared" si="65"/>
        <v/>
      </c>
      <c r="AC167" s="38" t="str">
        <f t="shared" si="66"/>
        <v/>
      </c>
      <c r="AD167" s="38" t="str">
        <f t="shared" si="67"/>
        <v/>
      </c>
      <c r="AE167" s="38" t="str">
        <f t="shared" si="68"/>
        <v/>
      </c>
      <c r="AF167" s="89">
        <f>ROUND(Att1SmallCarriers[[#This Row],[2023 Maximum Government Contribution
Self]]*(1+$B$14),2)</f>
        <v>259.72000000000003</v>
      </c>
      <c r="AG167" s="89">
        <f>ROUND(Att1SmallCarriers[[#This Row],[2023 Maximum Government Contribution
Self+1]]*(1+$B$14),2)</f>
        <v>560.52</v>
      </c>
      <c r="AH167" s="89">
        <f>ROUND(Att1SmallCarriers[[#This Row],[2023 Maximum Government Contribution
Family]]*(1+$B$14),2)</f>
        <v>611.41999999999996</v>
      </c>
      <c r="AI167" s="217" t="str">
        <f>IF(E167="","",MIN(Att1SmallCarriers[[#This Row],[ESTIMATED 2024 Maximum Government Contribution
Self]],ROUND(AC167*0.75,2)))</f>
        <v/>
      </c>
      <c r="AJ167" s="217" t="str">
        <f>IF(E167="","",MIN(Att1SmallCarriers[[#This Row],[ESTIMATED 2024 Maximum Government Contribution
Self+1]],ROUND(AD167*0.75,2)))</f>
        <v/>
      </c>
      <c r="AK167" s="217" t="str">
        <f>IF(E167="","",MIN(Att1SmallCarriers[[#This Row],[ESTIMATED 2024 Maximum Government Contribution
Family]],ROUND(AE167*0.75,2)))</f>
        <v/>
      </c>
      <c r="AL167" s="38" t="str">
        <f t="shared" si="69"/>
        <v/>
      </c>
      <c r="AM167" s="38" t="str">
        <f t="shared" si="70"/>
        <v/>
      </c>
      <c r="AN167" s="38" t="str">
        <f t="shared" si="71"/>
        <v/>
      </c>
      <c r="AO167" s="218" t="str">
        <f t="shared" si="57"/>
        <v/>
      </c>
      <c r="AP167" s="218" t="str">
        <f t="shared" si="58"/>
        <v/>
      </c>
      <c r="AQ167" s="218" t="str">
        <f t="shared" si="59"/>
        <v/>
      </c>
    </row>
    <row r="168" spans="5:43" ht="15.5" x14ac:dyDescent="0.35">
      <c r="E168" s="223"/>
      <c r="N168" s="40"/>
      <c r="O168" s="40"/>
      <c r="P168" s="40"/>
      <c r="Q168" s="39" t="str">
        <f t="shared" si="60"/>
        <v/>
      </c>
      <c r="R168" s="38" t="str">
        <f t="shared" si="61"/>
        <v/>
      </c>
      <c r="S168" s="38" t="str">
        <f t="shared" si="62"/>
        <v/>
      </c>
      <c r="T168" s="147">
        <v>259.72000000000003</v>
      </c>
      <c r="U168" s="147">
        <v>560.52</v>
      </c>
      <c r="V168" s="147">
        <v>611.41999999999996</v>
      </c>
      <c r="W168" s="38" t="str">
        <f t="shared" si="56"/>
        <v/>
      </c>
      <c r="X168" s="217" t="str">
        <f>IF(E168="","",IF(R168&gt;0,MIN(Att1SmallCarriers[[#This Row],[2023 Maximum Government Contribution
Self+1]],ROUND(R168*0.75,2)),"New Option"))</f>
        <v/>
      </c>
      <c r="Y168" s="217" t="str">
        <f>IF(E168="","",IF(S168&gt;0,MIN(Att1SmallCarriers[[#This Row],[2023 Maximum Government Contribution
Family]],ROUND(S168*0.75,2)),"New Option"))</f>
        <v/>
      </c>
      <c r="Z168" s="38" t="str">
        <f t="shared" si="63"/>
        <v/>
      </c>
      <c r="AA168" s="38" t="str">
        <f t="shared" si="64"/>
        <v/>
      </c>
      <c r="AB168" s="38" t="str">
        <f t="shared" si="65"/>
        <v/>
      </c>
      <c r="AC168" s="38" t="str">
        <f t="shared" si="66"/>
        <v/>
      </c>
      <c r="AD168" s="38" t="str">
        <f t="shared" si="67"/>
        <v/>
      </c>
      <c r="AE168" s="38" t="str">
        <f t="shared" si="68"/>
        <v/>
      </c>
      <c r="AF168" s="89">
        <f>ROUND(Att1SmallCarriers[[#This Row],[2023 Maximum Government Contribution
Self]]*(1+$B$14),2)</f>
        <v>259.72000000000003</v>
      </c>
      <c r="AG168" s="89">
        <f>ROUND(Att1SmallCarriers[[#This Row],[2023 Maximum Government Contribution
Self+1]]*(1+$B$14),2)</f>
        <v>560.52</v>
      </c>
      <c r="AH168" s="89">
        <f>ROUND(Att1SmallCarriers[[#This Row],[2023 Maximum Government Contribution
Family]]*(1+$B$14),2)</f>
        <v>611.41999999999996</v>
      </c>
      <c r="AI168" s="217" t="str">
        <f>IF(E168="","",MIN(Att1SmallCarriers[[#This Row],[ESTIMATED 2024 Maximum Government Contribution
Self]],ROUND(AC168*0.75,2)))</f>
        <v/>
      </c>
      <c r="AJ168" s="217" t="str">
        <f>IF(E168="","",MIN(Att1SmallCarriers[[#This Row],[ESTIMATED 2024 Maximum Government Contribution
Self+1]],ROUND(AD168*0.75,2)))</f>
        <v/>
      </c>
      <c r="AK168" s="217" t="str">
        <f>IF(E168="","",MIN(Att1SmallCarriers[[#This Row],[ESTIMATED 2024 Maximum Government Contribution
Family]],ROUND(AE168*0.75,2)))</f>
        <v/>
      </c>
      <c r="AL168" s="38" t="str">
        <f t="shared" si="69"/>
        <v/>
      </c>
      <c r="AM168" s="38" t="str">
        <f t="shared" si="70"/>
        <v/>
      </c>
      <c r="AN168" s="38" t="str">
        <f t="shared" si="71"/>
        <v/>
      </c>
      <c r="AO168" s="218" t="str">
        <f t="shared" si="57"/>
        <v/>
      </c>
      <c r="AP168" s="218" t="str">
        <f t="shared" si="58"/>
        <v/>
      </c>
      <c r="AQ168" s="218" t="str">
        <f t="shared" si="59"/>
        <v/>
      </c>
    </row>
    <row r="169" spans="5:43" ht="15.5" x14ac:dyDescent="0.35">
      <c r="E169" s="223"/>
      <c r="N169" s="40"/>
      <c r="O169" s="40"/>
      <c r="P169" s="40"/>
      <c r="Q169" s="39" t="str">
        <f t="shared" si="60"/>
        <v/>
      </c>
      <c r="R169" s="38" t="str">
        <f t="shared" si="61"/>
        <v/>
      </c>
      <c r="S169" s="38" t="str">
        <f t="shared" si="62"/>
        <v/>
      </c>
      <c r="T169" s="147">
        <v>259.72000000000003</v>
      </c>
      <c r="U169" s="147">
        <v>560.52</v>
      </c>
      <c r="V169" s="147">
        <v>611.41999999999996</v>
      </c>
      <c r="W169" s="38" t="str">
        <f t="shared" si="56"/>
        <v/>
      </c>
      <c r="X169" s="217" t="str">
        <f>IF(E169="","",IF(R169&gt;0,MIN(Att1SmallCarriers[[#This Row],[2023 Maximum Government Contribution
Self+1]],ROUND(R169*0.75,2)),"New Option"))</f>
        <v/>
      </c>
      <c r="Y169" s="217" t="str">
        <f>IF(E169="","",IF(S169&gt;0,MIN(Att1SmallCarriers[[#This Row],[2023 Maximum Government Contribution
Family]],ROUND(S169*0.75,2)),"New Option"))</f>
        <v/>
      </c>
      <c r="Z169" s="38" t="str">
        <f t="shared" si="63"/>
        <v/>
      </c>
      <c r="AA169" s="38" t="str">
        <f t="shared" si="64"/>
        <v/>
      </c>
      <c r="AB169" s="38" t="str">
        <f t="shared" si="65"/>
        <v/>
      </c>
      <c r="AC169" s="38" t="str">
        <f t="shared" si="66"/>
        <v/>
      </c>
      <c r="AD169" s="38" t="str">
        <f t="shared" si="67"/>
        <v/>
      </c>
      <c r="AE169" s="38" t="str">
        <f t="shared" si="68"/>
        <v/>
      </c>
      <c r="AF169" s="89">
        <f>ROUND(Att1SmallCarriers[[#This Row],[2023 Maximum Government Contribution
Self]]*(1+$B$14),2)</f>
        <v>259.72000000000003</v>
      </c>
      <c r="AG169" s="89">
        <f>ROUND(Att1SmallCarriers[[#This Row],[2023 Maximum Government Contribution
Self+1]]*(1+$B$14),2)</f>
        <v>560.52</v>
      </c>
      <c r="AH169" s="89">
        <f>ROUND(Att1SmallCarriers[[#This Row],[2023 Maximum Government Contribution
Family]]*(1+$B$14),2)</f>
        <v>611.41999999999996</v>
      </c>
      <c r="AI169" s="217" t="str">
        <f>IF(E169="","",MIN(Att1SmallCarriers[[#This Row],[ESTIMATED 2024 Maximum Government Contribution
Self]],ROUND(AC169*0.75,2)))</f>
        <v/>
      </c>
      <c r="AJ169" s="217" t="str">
        <f>IF(E169="","",MIN(Att1SmallCarriers[[#This Row],[ESTIMATED 2024 Maximum Government Contribution
Self+1]],ROUND(AD169*0.75,2)))</f>
        <v/>
      </c>
      <c r="AK169" s="217" t="str">
        <f>IF(E169="","",MIN(Att1SmallCarriers[[#This Row],[ESTIMATED 2024 Maximum Government Contribution
Family]],ROUND(AE169*0.75,2)))</f>
        <v/>
      </c>
      <c r="AL169" s="38" t="str">
        <f t="shared" si="69"/>
        <v/>
      </c>
      <c r="AM169" s="38" t="str">
        <f t="shared" si="70"/>
        <v/>
      </c>
      <c r="AN169" s="38" t="str">
        <f t="shared" si="71"/>
        <v/>
      </c>
      <c r="AO169" s="218" t="str">
        <f t="shared" si="57"/>
        <v/>
      </c>
      <c r="AP169" s="218" t="str">
        <f t="shared" si="58"/>
        <v/>
      </c>
      <c r="AQ169" s="218" t="str">
        <f t="shared" si="59"/>
        <v/>
      </c>
    </row>
    <row r="170" spans="5:43" ht="15.5" x14ac:dyDescent="0.35">
      <c r="E170" s="223"/>
      <c r="N170" s="40"/>
      <c r="O170" s="40"/>
      <c r="P170" s="40"/>
      <c r="Q170" s="39" t="str">
        <f t="shared" si="60"/>
        <v/>
      </c>
      <c r="R170" s="38" t="str">
        <f t="shared" si="61"/>
        <v/>
      </c>
      <c r="S170" s="38" t="str">
        <f t="shared" si="62"/>
        <v/>
      </c>
      <c r="T170" s="147">
        <v>259.72000000000003</v>
      </c>
      <c r="U170" s="147">
        <v>560.52</v>
      </c>
      <c r="V170" s="147">
        <v>611.41999999999996</v>
      </c>
      <c r="W170" s="38" t="str">
        <f t="shared" si="56"/>
        <v/>
      </c>
      <c r="X170" s="217" t="str">
        <f>IF(E170="","",IF(R170&gt;0,MIN(Att1SmallCarriers[[#This Row],[2023 Maximum Government Contribution
Self+1]],ROUND(R170*0.75,2)),"New Option"))</f>
        <v/>
      </c>
      <c r="Y170" s="217" t="str">
        <f>IF(E170="","",IF(S170&gt;0,MIN(Att1SmallCarriers[[#This Row],[2023 Maximum Government Contribution
Family]],ROUND(S170*0.75,2)),"New Option"))</f>
        <v/>
      </c>
      <c r="Z170" s="38" t="str">
        <f t="shared" si="63"/>
        <v/>
      </c>
      <c r="AA170" s="38" t="str">
        <f t="shared" si="64"/>
        <v/>
      </c>
      <c r="AB170" s="38" t="str">
        <f t="shared" si="65"/>
        <v/>
      </c>
      <c r="AC170" s="38" t="str">
        <f t="shared" si="66"/>
        <v/>
      </c>
      <c r="AD170" s="38" t="str">
        <f t="shared" si="67"/>
        <v/>
      </c>
      <c r="AE170" s="38" t="str">
        <f t="shared" si="68"/>
        <v/>
      </c>
      <c r="AF170" s="89">
        <f>ROUND(Att1SmallCarriers[[#This Row],[2023 Maximum Government Contribution
Self]]*(1+$B$14),2)</f>
        <v>259.72000000000003</v>
      </c>
      <c r="AG170" s="89">
        <f>ROUND(Att1SmallCarriers[[#This Row],[2023 Maximum Government Contribution
Self+1]]*(1+$B$14),2)</f>
        <v>560.52</v>
      </c>
      <c r="AH170" s="89">
        <f>ROUND(Att1SmallCarriers[[#This Row],[2023 Maximum Government Contribution
Family]]*(1+$B$14),2)</f>
        <v>611.41999999999996</v>
      </c>
      <c r="AI170" s="217" t="str">
        <f>IF(E170="","",MIN(Att1SmallCarriers[[#This Row],[ESTIMATED 2024 Maximum Government Contribution
Self]],ROUND(AC170*0.75,2)))</f>
        <v/>
      </c>
      <c r="AJ170" s="217" t="str">
        <f>IF(E170="","",MIN(Att1SmallCarriers[[#This Row],[ESTIMATED 2024 Maximum Government Contribution
Self+1]],ROUND(AD170*0.75,2)))</f>
        <v/>
      </c>
      <c r="AK170" s="217" t="str">
        <f>IF(E170="","",MIN(Att1SmallCarriers[[#This Row],[ESTIMATED 2024 Maximum Government Contribution
Family]],ROUND(AE170*0.75,2)))</f>
        <v/>
      </c>
      <c r="AL170" s="38" t="str">
        <f t="shared" si="69"/>
        <v/>
      </c>
      <c r="AM170" s="38" t="str">
        <f t="shared" si="70"/>
        <v/>
      </c>
      <c r="AN170" s="38" t="str">
        <f t="shared" si="71"/>
        <v/>
      </c>
      <c r="AO170" s="218" t="str">
        <f t="shared" si="57"/>
        <v/>
      </c>
      <c r="AP170" s="218" t="str">
        <f t="shared" si="58"/>
        <v/>
      </c>
      <c r="AQ170" s="218" t="str">
        <f t="shared" si="59"/>
        <v/>
      </c>
    </row>
    <row r="171" spans="5:43" ht="15.5" x14ac:dyDescent="0.35">
      <c r="E171" s="223"/>
      <c r="N171" s="40"/>
      <c r="O171" s="40"/>
      <c r="P171" s="40"/>
      <c r="Q171" s="39" t="str">
        <f t="shared" si="60"/>
        <v/>
      </c>
      <c r="R171" s="38" t="str">
        <f t="shared" si="61"/>
        <v/>
      </c>
      <c r="S171" s="38" t="str">
        <f t="shared" si="62"/>
        <v/>
      </c>
      <c r="T171" s="147">
        <v>259.72000000000003</v>
      </c>
      <c r="U171" s="147">
        <v>560.52</v>
      </c>
      <c r="V171" s="147">
        <v>611.41999999999996</v>
      </c>
      <c r="W171" s="38" t="str">
        <f t="shared" si="56"/>
        <v/>
      </c>
      <c r="X171" s="217" t="str">
        <f>IF(E171="","",IF(R171&gt;0,MIN(Att1SmallCarriers[[#This Row],[2023 Maximum Government Contribution
Self+1]],ROUND(R171*0.75,2)),"New Option"))</f>
        <v/>
      </c>
      <c r="Y171" s="217" t="str">
        <f>IF(E171="","",IF(S171&gt;0,MIN(Att1SmallCarriers[[#This Row],[2023 Maximum Government Contribution
Family]],ROUND(S171*0.75,2)),"New Option"))</f>
        <v/>
      </c>
      <c r="Z171" s="38" t="str">
        <f t="shared" si="63"/>
        <v/>
      </c>
      <c r="AA171" s="38" t="str">
        <f t="shared" si="64"/>
        <v/>
      </c>
      <c r="AB171" s="38" t="str">
        <f t="shared" si="65"/>
        <v/>
      </c>
      <c r="AC171" s="38" t="str">
        <f t="shared" si="66"/>
        <v/>
      </c>
      <c r="AD171" s="38" t="str">
        <f t="shared" si="67"/>
        <v/>
      </c>
      <c r="AE171" s="38" t="str">
        <f t="shared" si="68"/>
        <v/>
      </c>
      <c r="AF171" s="89">
        <f>ROUND(Att1SmallCarriers[[#This Row],[2023 Maximum Government Contribution
Self]]*(1+$B$14),2)</f>
        <v>259.72000000000003</v>
      </c>
      <c r="AG171" s="89">
        <f>ROUND(Att1SmallCarriers[[#This Row],[2023 Maximum Government Contribution
Self+1]]*(1+$B$14),2)</f>
        <v>560.52</v>
      </c>
      <c r="AH171" s="89">
        <f>ROUND(Att1SmallCarriers[[#This Row],[2023 Maximum Government Contribution
Family]]*(1+$B$14),2)</f>
        <v>611.41999999999996</v>
      </c>
      <c r="AI171" s="217" t="str">
        <f>IF(E171="","",MIN(Att1SmallCarriers[[#This Row],[ESTIMATED 2024 Maximum Government Contribution
Self]],ROUND(AC171*0.75,2)))</f>
        <v/>
      </c>
      <c r="AJ171" s="217" t="str">
        <f>IF(E171="","",MIN(Att1SmallCarriers[[#This Row],[ESTIMATED 2024 Maximum Government Contribution
Self+1]],ROUND(AD171*0.75,2)))</f>
        <v/>
      </c>
      <c r="AK171" s="217" t="str">
        <f>IF(E171="","",MIN(Att1SmallCarriers[[#This Row],[ESTIMATED 2024 Maximum Government Contribution
Family]],ROUND(AE171*0.75,2)))</f>
        <v/>
      </c>
      <c r="AL171" s="38" t="str">
        <f t="shared" si="69"/>
        <v/>
      </c>
      <c r="AM171" s="38" t="str">
        <f t="shared" si="70"/>
        <v/>
      </c>
      <c r="AN171" s="38" t="str">
        <f t="shared" si="71"/>
        <v/>
      </c>
      <c r="AO171" s="218" t="str">
        <f t="shared" si="57"/>
        <v/>
      </c>
      <c r="AP171" s="218" t="str">
        <f t="shared" si="58"/>
        <v/>
      </c>
      <c r="AQ171" s="218" t="str">
        <f t="shared" si="59"/>
        <v/>
      </c>
    </row>
    <row r="172" spans="5:43" ht="15.5" x14ac:dyDescent="0.35">
      <c r="E172" s="223"/>
      <c r="N172" s="40"/>
      <c r="O172" s="40"/>
      <c r="P172" s="40"/>
      <c r="Q172" s="39" t="str">
        <f t="shared" si="60"/>
        <v/>
      </c>
      <c r="R172" s="38" t="str">
        <f t="shared" si="61"/>
        <v/>
      </c>
      <c r="S172" s="38" t="str">
        <f t="shared" si="62"/>
        <v/>
      </c>
      <c r="T172" s="147">
        <v>259.72000000000003</v>
      </c>
      <c r="U172" s="147">
        <v>560.52</v>
      </c>
      <c r="V172" s="147">
        <v>611.41999999999996</v>
      </c>
      <c r="W172" s="38" t="str">
        <f t="shared" si="56"/>
        <v/>
      </c>
      <c r="X172" s="217" t="str">
        <f>IF(E172="","",IF(R172&gt;0,MIN(Att1SmallCarriers[[#This Row],[2023 Maximum Government Contribution
Self+1]],ROUND(R172*0.75,2)),"New Option"))</f>
        <v/>
      </c>
      <c r="Y172" s="217" t="str">
        <f>IF(E172="","",IF(S172&gt;0,MIN(Att1SmallCarriers[[#This Row],[2023 Maximum Government Contribution
Family]],ROUND(S172*0.75,2)),"New Option"))</f>
        <v/>
      </c>
      <c r="Z172" s="38" t="str">
        <f t="shared" si="63"/>
        <v/>
      </c>
      <c r="AA172" s="38" t="str">
        <f t="shared" si="64"/>
        <v/>
      </c>
      <c r="AB172" s="38" t="str">
        <f t="shared" si="65"/>
        <v/>
      </c>
      <c r="AC172" s="38" t="str">
        <f t="shared" si="66"/>
        <v/>
      </c>
      <c r="AD172" s="38" t="str">
        <f t="shared" si="67"/>
        <v/>
      </c>
      <c r="AE172" s="38" t="str">
        <f t="shared" si="68"/>
        <v/>
      </c>
      <c r="AF172" s="89">
        <f>ROUND(Att1SmallCarriers[[#This Row],[2023 Maximum Government Contribution
Self]]*(1+$B$14),2)</f>
        <v>259.72000000000003</v>
      </c>
      <c r="AG172" s="89">
        <f>ROUND(Att1SmallCarriers[[#This Row],[2023 Maximum Government Contribution
Self+1]]*(1+$B$14),2)</f>
        <v>560.52</v>
      </c>
      <c r="AH172" s="89">
        <f>ROUND(Att1SmallCarriers[[#This Row],[2023 Maximum Government Contribution
Family]]*(1+$B$14),2)</f>
        <v>611.41999999999996</v>
      </c>
      <c r="AI172" s="217" t="str">
        <f>IF(E172="","",MIN(Att1SmallCarriers[[#This Row],[ESTIMATED 2024 Maximum Government Contribution
Self]],ROUND(AC172*0.75,2)))</f>
        <v/>
      </c>
      <c r="AJ172" s="217" t="str">
        <f>IF(E172="","",MIN(Att1SmallCarriers[[#This Row],[ESTIMATED 2024 Maximum Government Contribution
Self+1]],ROUND(AD172*0.75,2)))</f>
        <v/>
      </c>
      <c r="AK172" s="217" t="str">
        <f>IF(E172="","",MIN(Att1SmallCarriers[[#This Row],[ESTIMATED 2024 Maximum Government Contribution
Family]],ROUND(AE172*0.75,2)))</f>
        <v/>
      </c>
      <c r="AL172" s="38" t="str">
        <f t="shared" si="69"/>
        <v/>
      </c>
      <c r="AM172" s="38" t="str">
        <f t="shared" si="70"/>
        <v/>
      </c>
      <c r="AN172" s="38" t="str">
        <f t="shared" si="71"/>
        <v/>
      </c>
      <c r="AO172" s="218" t="str">
        <f t="shared" si="57"/>
        <v/>
      </c>
      <c r="AP172" s="218" t="str">
        <f t="shared" si="58"/>
        <v/>
      </c>
      <c r="AQ172" s="218" t="str">
        <f t="shared" si="59"/>
        <v/>
      </c>
    </row>
    <row r="173" spans="5:43" ht="15.5" x14ac:dyDescent="0.35">
      <c r="E173" s="223"/>
      <c r="N173" s="40"/>
      <c r="O173" s="40"/>
      <c r="P173" s="40"/>
      <c r="Q173" s="39" t="str">
        <f t="shared" si="60"/>
        <v/>
      </c>
      <c r="R173" s="38" t="str">
        <f t="shared" si="61"/>
        <v/>
      </c>
      <c r="S173" s="38" t="str">
        <f t="shared" si="62"/>
        <v/>
      </c>
      <c r="T173" s="147">
        <v>259.72000000000003</v>
      </c>
      <c r="U173" s="147">
        <v>560.52</v>
      </c>
      <c r="V173" s="147">
        <v>611.41999999999996</v>
      </c>
      <c r="W173" s="38" t="str">
        <f t="shared" si="56"/>
        <v/>
      </c>
      <c r="X173" s="217" t="str">
        <f>IF(E173="","",IF(R173&gt;0,MIN(Att1SmallCarriers[[#This Row],[2023 Maximum Government Contribution
Self+1]],ROUND(R173*0.75,2)),"New Option"))</f>
        <v/>
      </c>
      <c r="Y173" s="217" t="str">
        <f>IF(E173="","",IF(S173&gt;0,MIN(Att1SmallCarriers[[#This Row],[2023 Maximum Government Contribution
Family]],ROUND(S173*0.75,2)),"New Option"))</f>
        <v/>
      </c>
      <c r="Z173" s="38" t="str">
        <f t="shared" si="63"/>
        <v/>
      </c>
      <c r="AA173" s="38" t="str">
        <f t="shared" si="64"/>
        <v/>
      </c>
      <c r="AB173" s="38" t="str">
        <f t="shared" si="65"/>
        <v/>
      </c>
      <c r="AC173" s="38" t="str">
        <f t="shared" si="66"/>
        <v/>
      </c>
      <c r="AD173" s="38" t="str">
        <f t="shared" si="67"/>
        <v/>
      </c>
      <c r="AE173" s="38" t="str">
        <f t="shared" si="68"/>
        <v/>
      </c>
      <c r="AF173" s="89">
        <f>ROUND(Att1SmallCarriers[[#This Row],[2023 Maximum Government Contribution
Self]]*(1+$B$14),2)</f>
        <v>259.72000000000003</v>
      </c>
      <c r="AG173" s="89">
        <f>ROUND(Att1SmallCarriers[[#This Row],[2023 Maximum Government Contribution
Self+1]]*(1+$B$14),2)</f>
        <v>560.52</v>
      </c>
      <c r="AH173" s="89">
        <f>ROUND(Att1SmallCarriers[[#This Row],[2023 Maximum Government Contribution
Family]]*(1+$B$14),2)</f>
        <v>611.41999999999996</v>
      </c>
      <c r="AI173" s="217" t="str">
        <f>IF(E173="","",MIN(Att1SmallCarriers[[#This Row],[ESTIMATED 2024 Maximum Government Contribution
Self]],ROUND(AC173*0.75,2)))</f>
        <v/>
      </c>
      <c r="AJ173" s="217" t="str">
        <f>IF(E173="","",MIN(Att1SmallCarriers[[#This Row],[ESTIMATED 2024 Maximum Government Contribution
Self+1]],ROUND(AD173*0.75,2)))</f>
        <v/>
      </c>
      <c r="AK173" s="217" t="str">
        <f>IF(E173="","",MIN(Att1SmallCarriers[[#This Row],[ESTIMATED 2024 Maximum Government Contribution
Family]],ROUND(AE173*0.75,2)))</f>
        <v/>
      </c>
      <c r="AL173" s="38" t="str">
        <f t="shared" si="69"/>
        <v/>
      </c>
      <c r="AM173" s="38" t="str">
        <f t="shared" si="70"/>
        <v/>
      </c>
      <c r="AN173" s="38" t="str">
        <f t="shared" si="71"/>
        <v/>
      </c>
      <c r="AO173" s="218" t="str">
        <f t="shared" si="57"/>
        <v/>
      </c>
      <c r="AP173" s="218" t="str">
        <f t="shared" si="58"/>
        <v/>
      </c>
      <c r="AQ173" s="218" t="str">
        <f t="shared" si="59"/>
        <v/>
      </c>
    </row>
    <row r="174" spans="5:43" ht="15.5" x14ac:dyDescent="0.35">
      <c r="E174" s="223"/>
      <c r="N174" s="40"/>
      <c r="O174" s="40"/>
      <c r="P174" s="40"/>
      <c r="Q174" s="39" t="str">
        <f t="shared" si="60"/>
        <v/>
      </c>
      <c r="R174" s="38" t="str">
        <f t="shared" si="61"/>
        <v/>
      </c>
      <c r="S174" s="38" t="str">
        <f t="shared" si="62"/>
        <v/>
      </c>
      <c r="T174" s="147">
        <v>259.72000000000003</v>
      </c>
      <c r="U174" s="147">
        <v>560.52</v>
      </c>
      <c r="V174" s="147">
        <v>611.41999999999996</v>
      </c>
      <c r="W174" s="38" t="str">
        <f t="shared" si="56"/>
        <v/>
      </c>
      <c r="X174" s="217" t="str">
        <f>IF(E174="","",IF(R174&gt;0,MIN(Att1SmallCarriers[[#This Row],[2023 Maximum Government Contribution
Self+1]],ROUND(R174*0.75,2)),"New Option"))</f>
        <v/>
      </c>
      <c r="Y174" s="217" t="str">
        <f>IF(E174="","",IF(S174&gt;0,MIN(Att1SmallCarriers[[#This Row],[2023 Maximum Government Contribution
Family]],ROUND(S174*0.75,2)),"New Option"))</f>
        <v/>
      </c>
      <c r="Z174" s="38" t="str">
        <f t="shared" si="63"/>
        <v/>
      </c>
      <c r="AA174" s="38" t="str">
        <f t="shared" si="64"/>
        <v/>
      </c>
      <c r="AB174" s="38" t="str">
        <f t="shared" si="65"/>
        <v/>
      </c>
      <c r="AC174" s="38" t="str">
        <f t="shared" si="66"/>
        <v/>
      </c>
      <c r="AD174" s="38" t="str">
        <f t="shared" si="67"/>
        <v/>
      </c>
      <c r="AE174" s="38" t="str">
        <f t="shared" si="68"/>
        <v/>
      </c>
      <c r="AF174" s="89">
        <f>ROUND(Att1SmallCarriers[[#This Row],[2023 Maximum Government Contribution
Self]]*(1+$B$14),2)</f>
        <v>259.72000000000003</v>
      </c>
      <c r="AG174" s="89">
        <f>ROUND(Att1SmallCarriers[[#This Row],[2023 Maximum Government Contribution
Self+1]]*(1+$B$14),2)</f>
        <v>560.52</v>
      </c>
      <c r="AH174" s="89">
        <f>ROUND(Att1SmallCarriers[[#This Row],[2023 Maximum Government Contribution
Family]]*(1+$B$14),2)</f>
        <v>611.41999999999996</v>
      </c>
      <c r="AI174" s="217" t="str">
        <f>IF(E174="","",MIN(Att1SmallCarriers[[#This Row],[ESTIMATED 2024 Maximum Government Contribution
Self]],ROUND(AC174*0.75,2)))</f>
        <v/>
      </c>
      <c r="AJ174" s="217" t="str">
        <f>IF(E174="","",MIN(Att1SmallCarriers[[#This Row],[ESTIMATED 2024 Maximum Government Contribution
Self+1]],ROUND(AD174*0.75,2)))</f>
        <v/>
      </c>
      <c r="AK174" s="217" t="str">
        <f>IF(E174="","",MIN(Att1SmallCarriers[[#This Row],[ESTIMATED 2024 Maximum Government Contribution
Family]],ROUND(AE174*0.75,2)))</f>
        <v/>
      </c>
      <c r="AL174" s="38" t="str">
        <f t="shared" si="69"/>
        <v/>
      </c>
      <c r="AM174" s="38" t="str">
        <f t="shared" si="70"/>
        <v/>
      </c>
      <c r="AN174" s="38" t="str">
        <f t="shared" si="71"/>
        <v/>
      </c>
      <c r="AO174" s="218" t="str">
        <f t="shared" si="57"/>
        <v/>
      </c>
      <c r="AP174" s="218" t="str">
        <f t="shared" si="58"/>
        <v/>
      </c>
      <c r="AQ174" s="218" t="str">
        <f t="shared" si="59"/>
        <v/>
      </c>
    </row>
    <row r="175" spans="5:43" ht="15.5" x14ac:dyDescent="0.35">
      <c r="E175" s="223"/>
      <c r="N175" s="40"/>
      <c r="O175" s="40"/>
      <c r="P175" s="40"/>
      <c r="Q175" s="39" t="str">
        <f t="shared" si="60"/>
        <v/>
      </c>
      <c r="R175" s="38" t="str">
        <f t="shared" si="61"/>
        <v/>
      </c>
      <c r="S175" s="38" t="str">
        <f t="shared" si="62"/>
        <v/>
      </c>
      <c r="T175" s="147">
        <v>259.72000000000003</v>
      </c>
      <c r="U175" s="147">
        <v>560.52</v>
      </c>
      <c r="V175" s="147">
        <v>611.41999999999996</v>
      </c>
      <c r="W175" s="38" t="str">
        <f t="shared" si="56"/>
        <v/>
      </c>
      <c r="X175" s="217" t="str">
        <f>IF(E175="","",IF(R175&gt;0,MIN(Att1SmallCarriers[[#This Row],[2023 Maximum Government Contribution
Self+1]],ROUND(R175*0.75,2)),"New Option"))</f>
        <v/>
      </c>
      <c r="Y175" s="217" t="str">
        <f>IF(E175="","",IF(S175&gt;0,MIN(Att1SmallCarriers[[#This Row],[2023 Maximum Government Contribution
Family]],ROUND(S175*0.75,2)),"New Option"))</f>
        <v/>
      </c>
      <c r="Z175" s="38" t="str">
        <f t="shared" si="63"/>
        <v/>
      </c>
      <c r="AA175" s="38" t="str">
        <f t="shared" si="64"/>
        <v/>
      </c>
      <c r="AB175" s="38" t="str">
        <f t="shared" si="65"/>
        <v/>
      </c>
      <c r="AC175" s="38" t="str">
        <f t="shared" si="66"/>
        <v/>
      </c>
      <c r="AD175" s="38" t="str">
        <f t="shared" si="67"/>
        <v/>
      </c>
      <c r="AE175" s="38" t="str">
        <f t="shared" si="68"/>
        <v/>
      </c>
      <c r="AF175" s="89">
        <f>ROUND(Att1SmallCarriers[[#This Row],[2023 Maximum Government Contribution
Self]]*(1+$B$14),2)</f>
        <v>259.72000000000003</v>
      </c>
      <c r="AG175" s="89">
        <f>ROUND(Att1SmallCarriers[[#This Row],[2023 Maximum Government Contribution
Self+1]]*(1+$B$14),2)</f>
        <v>560.52</v>
      </c>
      <c r="AH175" s="89">
        <f>ROUND(Att1SmallCarriers[[#This Row],[2023 Maximum Government Contribution
Family]]*(1+$B$14),2)</f>
        <v>611.41999999999996</v>
      </c>
      <c r="AI175" s="217" t="str">
        <f>IF(E175="","",MIN(Att1SmallCarriers[[#This Row],[ESTIMATED 2024 Maximum Government Contribution
Self]],ROUND(AC175*0.75,2)))</f>
        <v/>
      </c>
      <c r="AJ175" s="217" t="str">
        <f>IF(E175="","",MIN(Att1SmallCarriers[[#This Row],[ESTIMATED 2024 Maximum Government Contribution
Self+1]],ROUND(AD175*0.75,2)))</f>
        <v/>
      </c>
      <c r="AK175" s="217" t="str">
        <f>IF(E175="","",MIN(Att1SmallCarriers[[#This Row],[ESTIMATED 2024 Maximum Government Contribution
Family]],ROUND(AE175*0.75,2)))</f>
        <v/>
      </c>
      <c r="AL175" s="38" t="str">
        <f t="shared" si="69"/>
        <v/>
      </c>
      <c r="AM175" s="38" t="str">
        <f t="shared" si="70"/>
        <v/>
      </c>
      <c r="AN175" s="38" t="str">
        <f t="shared" si="71"/>
        <v/>
      </c>
      <c r="AO175" s="218" t="str">
        <f t="shared" si="57"/>
        <v/>
      </c>
      <c r="AP175" s="218" t="str">
        <f t="shared" si="58"/>
        <v/>
      </c>
      <c r="AQ175" s="218" t="str">
        <f t="shared" si="59"/>
        <v/>
      </c>
    </row>
    <row r="176" spans="5:43" ht="15.5" x14ac:dyDescent="0.35">
      <c r="E176" s="223"/>
      <c r="N176" s="40"/>
      <c r="O176" s="40"/>
      <c r="P176" s="40"/>
      <c r="Q176" s="39" t="str">
        <f t="shared" si="60"/>
        <v/>
      </c>
      <c r="R176" s="38" t="str">
        <f t="shared" si="61"/>
        <v/>
      </c>
      <c r="S176" s="38" t="str">
        <f t="shared" si="62"/>
        <v/>
      </c>
      <c r="T176" s="147">
        <v>259.72000000000003</v>
      </c>
      <c r="U176" s="147">
        <v>560.52</v>
      </c>
      <c r="V176" s="147">
        <v>611.41999999999996</v>
      </c>
      <c r="W176" s="38" t="str">
        <f t="shared" si="56"/>
        <v/>
      </c>
      <c r="X176" s="217" t="str">
        <f>IF(E176="","",IF(R176&gt;0,MIN(Att1SmallCarriers[[#This Row],[2023 Maximum Government Contribution
Self+1]],ROUND(R176*0.75,2)),"New Option"))</f>
        <v/>
      </c>
      <c r="Y176" s="217" t="str">
        <f>IF(E176="","",IF(S176&gt;0,MIN(Att1SmallCarriers[[#This Row],[2023 Maximum Government Contribution
Family]],ROUND(S176*0.75,2)),"New Option"))</f>
        <v/>
      </c>
      <c r="Z176" s="38" t="str">
        <f t="shared" si="63"/>
        <v/>
      </c>
      <c r="AA176" s="38" t="str">
        <f t="shared" si="64"/>
        <v/>
      </c>
      <c r="AB176" s="38" t="str">
        <f t="shared" si="65"/>
        <v/>
      </c>
      <c r="AC176" s="38" t="str">
        <f t="shared" si="66"/>
        <v/>
      </c>
      <c r="AD176" s="38" t="str">
        <f t="shared" si="67"/>
        <v/>
      </c>
      <c r="AE176" s="38" t="str">
        <f t="shared" si="68"/>
        <v/>
      </c>
      <c r="AF176" s="89">
        <f>ROUND(Att1SmallCarriers[[#This Row],[2023 Maximum Government Contribution
Self]]*(1+$B$14),2)</f>
        <v>259.72000000000003</v>
      </c>
      <c r="AG176" s="89">
        <f>ROUND(Att1SmallCarriers[[#This Row],[2023 Maximum Government Contribution
Self+1]]*(1+$B$14),2)</f>
        <v>560.52</v>
      </c>
      <c r="AH176" s="89">
        <f>ROUND(Att1SmallCarriers[[#This Row],[2023 Maximum Government Contribution
Family]]*(1+$B$14),2)</f>
        <v>611.41999999999996</v>
      </c>
      <c r="AI176" s="217" t="str">
        <f>IF(E176="","",MIN(Att1SmallCarriers[[#This Row],[ESTIMATED 2024 Maximum Government Contribution
Self]],ROUND(AC176*0.75,2)))</f>
        <v/>
      </c>
      <c r="AJ176" s="217" t="str">
        <f>IF(E176="","",MIN(Att1SmallCarriers[[#This Row],[ESTIMATED 2024 Maximum Government Contribution
Self+1]],ROUND(AD176*0.75,2)))</f>
        <v/>
      </c>
      <c r="AK176" s="217" t="str">
        <f>IF(E176="","",MIN(Att1SmallCarriers[[#This Row],[ESTIMATED 2024 Maximum Government Contribution
Family]],ROUND(AE176*0.75,2)))</f>
        <v/>
      </c>
      <c r="AL176" s="38" t="str">
        <f t="shared" si="69"/>
        <v/>
      </c>
      <c r="AM176" s="38" t="str">
        <f t="shared" si="70"/>
        <v/>
      </c>
      <c r="AN176" s="38" t="str">
        <f t="shared" si="71"/>
        <v/>
      </c>
      <c r="AO176" s="218" t="str">
        <f t="shared" si="57"/>
        <v/>
      </c>
      <c r="AP176" s="218" t="str">
        <f t="shared" si="58"/>
        <v/>
      </c>
      <c r="AQ176" s="218" t="str">
        <f t="shared" si="59"/>
        <v/>
      </c>
    </row>
    <row r="177" spans="5:43" ht="15.5" x14ac:dyDescent="0.35">
      <c r="E177" s="223"/>
      <c r="N177" s="40"/>
      <c r="O177" s="40"/>
      <c r="P177" s="40"/>
      <c r="Q177" s="39" t="str">
        <f t="shared" si="60"/>
        <v/>
      </c>
      <c r="R177" s="38" t="str">
        <f t="shared" si="61"/>
        <v/>
      </c>
      <c r="S177" s="38" t="str">
        <f t="shared" si="62"/>
        <v/>
      </c>
      <c r="T177" s="147">
        <v>259.72000000000003</v>
      </c>
      <c r="U177" s="147">
        <v>560.52</v>
      </c>
      <c r="V177" s="147">
        <v>611.41999999999996</v>
      </c>
      <c r="W177" s="38" t="str">
        <f t="shared" si="56"/>
        <v/>
      </c>
      <c r="X177" s="217" t="str">
        <f>IF(E177="","",IF(R177&gt;0,MIN(Att1SmallCarriers[[#This Row],[2023 Maximum Government Contribution
Self+1]],ROUND(R177*0.75,2)),"New Option"))</f>
        <v/>
      </c>
      <c r="Y177" s="217" t="str">
        <f>IF(E177="","",IF(S177&gt;0,MIN(Att1SmallCarriers[[#This Row],[2023 Maximum Government Contribution
Family]],ROUND(S177*0.75,2)),"New Option"))</f>
        <v/>
      </c>
      <c r="Z177" s="38" t="str">
        <f t="shared" si="63"/>
        <v/>
      </c>
      <c r="AA177" s="38" t="str">
        <f t="shared" si="64"/>
        <v/>
      </c>
      <c r="AB177" s="38" t="str">
        <f t="shared" si="65"/>
        <v/>
      </c>
      <c r="AC177" s="38" t="str">
        <f t="shared" si="66"/>
        <v/>
      </c>
      <c r="AD177" s="38" t="str">
        <f t="shared" si="67"/>
        <v/>
      </c>
      <c r="AE177" s="38" t="str">
        <f t="shared" si="68"/>
        <v/>
      </c>
      <c r="AF177" s="89">
        <f>ROUND(Att1SmallCarriers[[#This Row],[2023 Maximum Government Contribution
Self]]*(1+$B$14),2)</f>
        <v>259.72000000000003</v>
      </c>
      <c r="AG177" s="89">
        <f>ROUND(Att1SmallCarriers[[#This Row],[2023 Maximum Government Contribution
Self+1]]*(1+$B$14),2)</f>
        <v>560.52</v>
      </c>
      <c r="AH177" s="89">
        <f>ROUND(Att1SmallCarriers[[#This Row],[2023 Maximum Government Contribution
Family]]*(1+$B$14),2)</f>
        <v>611.41999999999996</v>
      </c>
      <c r="AI177" s="217" t="str">
        <f>IF(E177="","",MIN(Att1SmallCarriers[[#This Row],[ESTIMATED 2024 Maximum Government Contribution
Self]],ROUND(AC177*0.75,2)))</f>
        <v/>
      </c>
      <c r="AJ177" s="217" t="str">
        <f>IF(E177="","",MIN(Att1SmallCarriers[[#This Row],[ESTIMATED 2024 Maximum Government Contribution
Self+1]],ROUND(AD177*0.75,2)))</f>
        <v/>
      </c>
      <c r="AK177" s="217" t="str">
        <f>IF(E177="","",MIN(Att1SmallCarriers[[#This Row],[ESTIMATED 2024 Maximum Government Contribution
Family]],ROUND(AE177*0.75,2)))</f>
        <v/>
      </c>
      <c r="AL177" s="38" t="str">
        <f t="shared" si="69"/>
        <v/>
      </c>
      <c r="AM177" s="38" t="str">
        <f t="shared" si="70"/>
        <v/>
      </c>
      <c r="AN177" s="38" t="str">
        <f t="shared" si="71"/>
        <v/>
      </c>
      <c r="AO177" s="218" t="str">
        <f t="shared" si="57"/>
        <v/>
      </c>
      <c r="AP177" s="218" t="str">
        <f t="shared" si="58"/>
        <v/>
      </c>
      <c r="AQ177" s="218" t="str">
        <f t="shared" si="59"/>
        <v/>
      </c>
    </row>
    <row r="178" spans="5:43" ht="15.5" x14ac:dyDescent="0.35">
      <c r="E178" s="223"/>
      <c r="N178" s="40"/>
      <c r="O178" s="40"/>
      <c r="P178" s="40"/>
      <c r="Q178" s="39" t="str">
        <f t="shared" si="60"/>
        <v/>
      </c>
      <c r="R178" s="38" t="str">
        <f t="shared" si="61"/>
        <v/>
      </c>
      <c r="S178" s="38" t="str">
        <f t="shared" si="62"/>
        <v/>
      </c>
      <c r="T178" s="147">
        <v>259.72000000000003</v>
      </c>
      <c r="U178" s="147">
        <v>560.52</v>
      </c>
      <c r="V178" s="147">
        <v>611.41999999999996</v>
      </c>
      <c r="W178" s="38" t="str">
        <f t="shared" si="56"/>
        <v/>
      </c>
      <c r="X178" s="217" t="str">
        <f>IF(E178="","",IF(R178&gt;0,MIN(Att1SmallCarriers[[#This Row],[2023 Maximum Government Contribution
Self+1]],ROUND(R178*0.75,2)),"New Option"))</f>
        <v/>
      </c>
      <c r="Y178" s="217" t="str">
        <f>IF(E178="","",IF(S178&gt;0,MIN(Att1SmallCarriers[[#This Row],[2023 Maximum Government Contribution
Family]],ROUND(S178*0.75,2)),"New Option"))</f>
        <v/>
      </c>
      <c r="Z178" s="38" t="str">
        <f t="shared" si="63"/>
        <v/>
      </c>
      <c r="AA178" s="38" t="str">
        <f t="shared" si="64"/>
        <v/>
      </c>
      <c r="AB178" s="38" t="str">
        <f t="shared" si="65"/>
        <v/>
      </c>
      <c r="AC178" s="38" t="str">
        <f t="shared" si="66"/>
        <v/>
      </c>
      <c r="AD178" s="38" t="str">
        <f t="shared" si="67"/>
        <v/>
      </c>
      <c r="AE178" s="38" t="str">
        <f t="shared" si="68"/>
        <v/>
      </c>
      <c r="AF178" s="89">
        <f>ROUND(Att1SmallCarriers[[#This Row],[2023 Maximum Government Contribution
Self]]*(1+$B$14),2)</f>
        <v>259.72000000000003</v>
      </c>
      <c r="AG178" s="89">
        <f>ROUND(Att1SmallCarriers[[#This Row],[2023 Maximum Government Contribution
Self+1]]*(1+$B$14),2)</f>
        <v>560.52</v>
      </c>
      <c r="AH178" s="89">
        <f>ROUND(Att1SmallCarriers[[#This Row],[2023 Maximum Government Contribution
Family]]*(1+$B$14),2)</f>
        <v>611.41999999999996</v>
      </c>
      <c r="AI178" s="217" t="str">
        <f>IF(E178="","",MIN(Att1SmallCarriers[[#This Row],[ESTIMATED 2024 Maximum Government Contribution
Self]],ROUND(AC178*0.75,2)))</f>
        <v/>
      </c>
      <c r="AJ178" s="217" t="str">
        <f>IF(E178="","",MIN(Att1SmallCarriers[[#This Row],[ESTIMATED 2024 Maximum Government Contribution
Self+1]],ROUND(AD178*0.75,2)))</f>
        <v/>
      </c>
      <c r="AK178" s="217" t="str">
        <f>IF(E178="","",MIN(Att1SmallCarriers[[#This Row],[ESTIMATED 2024 Maximum Government Contribution
Family]],ROUND(AE178*0.75,2)))</f>
        <v/>
      </c>
      <c r="AL178" s="38" t="str">
        <f t="shared" si="69"/>
        <v/>
      </c>
      <c r="AM178" s="38" t="str">
        <f t="shared" si="70"/>
        <v/>
      </c>
      <c r="AN178" s="38" t="str">
        <f t="shared" si="71"/>
        <v/>
      </c>
      <c r="AO178" s="218" t="str">
        <f t="shared" si="57"/>
        <v/>
      </c>
      <c r="AP178" s="218" t="str">
        <f t="shared" si="58"/>
        <v/>
      </c>
      <c r="AQ178" s="218" t="str">
        <f t="shared" si="59"/>
        <v/>
      </c>
    </row>
    <row r="179" spans="5:43" ht="15.5" x14ac:dyDescent="0.35">
      <c r="E179" s="223"/>
      <c r="N179" s="40"/>
      <c r="O179" s="40"/>
      <c r="P179" s="40"/>
      <c r="Q179" s="39" t="str">
        <f t="shared" si="60"/>
        <v/>
      </c>
      <c r="R179" s="38" t="str">
        <f t="shared" si="61"/>
        <v/>
      </c>
      <c r="S179" s="38" t="str">
        <f t="shared" si="62"/>
        <v/>
      </c>
      <c r="T179" s="147">
        <v>259.72000000000003</v>
      </c>
      <c r="U179" s="147">
        <v>560.52</v>
      </c>
      <c r="V179" s="147">
        <v>611.41999999999996</v>
      </c>
      <c r="W179" s="38" t="str">
        <f t="shared" si="56"/>
        <v/>
      </c>
      <c r="X179" s="217" t="str">
        <f>IF(E179="","",IF(R179&gt;0,MIN(Att1SmallCarriers[[#This Row],[2023 Maximum Government Contribution
Self+1]],ROUND(R179*0.75,2)),"New Option"))</f>
        <v/>
      </c>
      <c r="Y179" s="217" t="str">
        <f>IF(E179="","",IF(S179&gt;0,MIN(Att1SmallCarriers[[#This Row],[2023 Maximum Government Contribution
Family]],ROUND(S179*0.75,2)),"New Option"))</f>
        <v/>
      </c>
      <c r="Z179" s="38" t="str">
        <f t="shared" si="63"/>
        <v/>
      </c>
      <c r="AA179" s="38" t="str">
        <f t="shared" si="64"/>
        <v/>
      </c>
      <c r="AB179" s="38" t="str">
        <f t="shared" si="65"/>
        <v/>
      </c>
      <c r="AC179" s="38" t="str">
        <f t="shared" si="66"/>
        <v/>
      </c>
      <c r="AD179" s="38" t="str">
        <f t="shared" si="67"/>
        <v/>
      </c>
      <c r="AE179" s="38" t="str">
        <f t="shared" si="68"/>
        <v/>
      </c>
      <c r="AF179" s="89">
        <f>ROUND(Att1SmallCarriers[[#This Row],[2023 Maximum Government Contribution
Self]]*(1+$B$14),2)</f>
        <v>259.72000000000003</v>
      </c>
      <c r="AG179" s="89">
        <f>ROUND(Att1SmallCarriers[[#This Row],[2023 Maximum Government Contribution
Self+1]]*(1+$B$14),2)</f>
        <v>560.52</v>
      </c>
      <c r="AH179" s="89">
        <f>ROUND(Att1SmallCarriers[[#This Row],[2023 Maximum Government Contribution
Family]]*(1+$B$14),2)</f>
        <v>611.41999999999996</v>
      </c>
      <c r="AI179" s="217" t="str">
        <f>IF(E179="","",MIN(Att1SmallCarriers[[#This Row],[ESTIMATED 2024 Maximum Government Contribution
Self]],ROUND(AC179*0.75,2)))</f>
        <v/>
      </c>
      <c r="AJ179" s="217" t="str">
        <f>IF(E179="","",MIN(Att1SmallCarriers[[#This Row],[ESTIMATED 2024 Maximum Government Contribution
Self+1]],ROUND(AD179*0.75,2)))</f>
        <v/>
      </c>
      <c r="AK179" s="217" t="str">
        <f>IF(E179="","",MIN(Att1SmallCarriers[[#This Row],[ESTIMATED 2024 Maximum Government Contribution
Family]],ROUND(AE179*0.75,2)))</f>
        <v/>
      </c>
      <c r="AL179" s="38" t="str">
        <f t="shared" si="69"/>
        <v/>
      </c>
      <c r="AM179" s="38" t="str">
        <f t="shared" si="70"/>
        <v/>
      </c>
      <c r="AN179" s="38" t="str">
        <f t="shared" si="71"/>
        <v/>
      </c>
      <c r="AO179" s="218" t="str">
        <f t="shared" si="57"/>
        <v/>
      </c>
      <c r="AP179" s="218" t="str">
        <f t="shared" si="58"/>
        <v/>
      </c>
      <c r="AQ179" s="218" t="str">
        <f t="shared" si="59"/>
        <v/>
      </c>
    </row>
    <row r="180" spans="5:43" ht="15.5" x14ac:dyDescent="0.35">
      <c r="E180" s="223"/>
      <c r="N180" s="40"/>
      <c r="O180" s="40"/>
      <c r="P180" s="40"/>
      <c r="Q180" s="39" t="str">
        <f t="shared" si="60"/>
        <v/>
      </c>
      <c r="R180" s="38" t="str">
        <f t="shared" si="61"/>
        <v/>
      </c>
      <c r="S180" s="38" t="str">
        <f t="shared" si="62"/>
        <v/>
      </c>
      <c r="T180" s="147">
        <v>259.72000000000003</v>
      </c>
      <c r="U180" s="147">
        <v>560.52</v>
      </c>
      <c r="V180" s="147">
        <v>611.41999999999996</v>
      </c>
      <c r="W180" s="38" t="str">
        <f t="shared" si="56"/>
        <v/>
      </c>
      <c r="X180" s="217" t="str">
        <f>IF(E180="","",IF(R180&gt;0,MIN(Att1SmallCarriers[[#This Row],[2023 Maximum Government Contribution
Self+1]],ROUND(R180*0.75,2)),"New Option"))</f>
        <v/>
      </c>
      <c r="Y180" s="217" t="str">
        <f>IF(E180="","",IF(S180&gt;0,MIN(Att1SmallCarriers[[#This Row],[2023 Maximum Government Contribution
Family]],ROUND(S180*0.75,2)),"New Option"))</f>
        <v/>
      </c>
      <c r="Z180" s="38" t="str">
        <f t="shared" si="63"/>
        <v/>
      </c>
      <c r="AA180" s="38" t="str">
        <f t="shared" si="64"/>
        <v/>
      </c>
      <c r="AB180" s="38" t="str">
        <f t="shared" si="65"/>
        <v/>
      </c>
      <c r="AC180" s="38" t="str">
        <f t="shared" si="66"/>
        <v/>
      </c>
      <c r="AD180" s="38" t="str">
        <f t="shared" si="67"/>
        <v/>
      </c>
      <c r="AE180" s="38" t="str">
        <f t="shared" si="68"/>
        <v/>
      </c>
      <c r="AF180" s="89">
        <f>ROUND(Att1SmallCarriers[[#This Row],[2023 Maximum Government Contribution
Self]]*(1+$B$14),2)</f>
        <v>259.72000000000003</v>
      </c>
      <c r="AG180" s="89">
        <f>ROUND(Att1SmallCarriers[[#This Row],[2023 Maximum Government Contribution
Self+1]]*(1+$B$14),2)</f>
        <v>560.52</v>
      </c>
      <c r="AH180" s="89">
        <f>ROUND(Att1SmallCarriers[[#This Row],[2023 Maximum Government Contribution
Family]]*(1+$B$14),2)</f>
        <v>611.41999999999996</v>
      </c>
      <c r="AI180" s="217" t="str">
        <f>IF(E180="","",MIN(Att1SmallCarriers[[#This Row],[ESTIMATED 2024 Maximum Government Contribution
Self]],ROUND(AC180*0.75,2)))</f>
        <v/>
      </c>
      <c r="AJ180" s="217" t="str">
        <f>IF(E180="","",MIN(Att1SmallCarriers[[#This Row],[ESTIMATED 2024 Maximum Government Contribution
Self+1]],ROUND(AD180*0.75,2)))</f>
        <v/>
      </c>
      <c r="AK180" s="217" t="str">
        <f>IF(E180="","",MIN(Att1SmallCarriers[[#This Row],[ESTIMATED 2024 Maximum Government Contribution
Family]],ROUND(AE180*0.75,2)))</f>
        <v/>
      </c>
      <c r="AL180" s="38" t="str">
        <f t="shared" si="69"/>
        <v/>
      </c>
      <c r="AM180" s="38" t="str">
        <f t="shared" si="70"/>
        <v/>
      </c>
      <c r="AN180" s="38" t="str">
        <f t="shared" si="71"/>
        <v/>
      </c>
      <c r="AO180" s="218" t="str">
        <f t="shared" si="57"/>
        <v/>
      </c>
      <c r="AP180" s="218" t="str">
        <f t="shared" si="58"/>
        <v/>
      </c>
      <c r="AQ180" s="218" t="str">
        <f t="shared" si="59"/>
        <v/>
      </c>
    </row>
    <row r="181" spans="5:43" ht="15.5" x14ac:dyDescent="0.35">
      <c r="E181" s="223"/>
      <c r="N181" s="40"/>
      <c r="O181" s="40"/>
      <c r="P181" s="40"/>
      <c r="Q181" s="39" t="str">
        <f t="shared" si="60"/>
        <v/>
      </c>
      <c r="R181" s="38" t="str">
        <f t="shared" si="61"/>
        <v/>
      </c>
      <c r="S181" s="38" t="str">
        <f t="shared" si="62"/>
        <v/>
      </c>
      <c r="T181" s="147">
        <v>259.72000000000003</v>
      </c>
      <c r="U181" s="147">
        <v>560.52</v>
      </c>
      <c r="V181" s="147">
        <v>611.41999999999996</v>
      </c>
      <c r="W181" s="38" t="str">
        <f t="shared" si="56"/>
        <v/>
      </c>
      <c r="X181" s="217" t="str">
        <f>IF(E181="","",IF(R181&gt;0,MIN(Att1SmallCarriers[[#This Row],[2023 Maximum Government Contribution
Self+1]],ROUND(R181*0.75,2)),"New Option"))</f>
        <v/>
      </c>
      <c r="Y181" s="217" t="str">
        <f>IF(E181="","",IF(S181&gt;0,MIN(Att1SmallCarriers[[#This Row],[2023 Maximum Government Contribution
Family]],ROUND(S181*0.75,2)),"New Option"))</f>
        <v/>
      </c>
      <c r="Z181" s="38" t="str">
        <f t="shared" si="63"/>
        <v/>
      </c>
      <c r="AA181" s="38" t="str">
        <f t="shared" si="64"/>
        <v/>
      </c>
      <c r="AB181" s="38" t="str">
        <f t="shared" si="65"/>
        <v/>
      </c>
      <c r="AC181" s="38" t="str">
        <f t="shared" si="66"/>
        <v/>
      </c>
      <c r="AD181" s="38" t="str">
        <f t="shared" si="67"/>
        <v/>
      </c>
      <c r="AE181" s="38" t="str">
        <f t="shared" si="68"/>
        <v/>
      </c>
      <c r="AF181" s="89">
        <f>ROUND(Att1SmallCarriers[[#This Row],[2023 Maximum Government Contribution
Self]]*(1+$B$14),2)</f>
        <v>259.72000000000003</v>
      </c>
      <c r="AG181" s="89">
        <f>ROUND(Att1SmallCarriers[[#This Row],[2023 Maximum Government Contribution
Self+1]]*(1+$B$14),2)</f>
        <v>560.52</v>
      </c>
      <c r="AH181" s="89">
        <f>ROUND(Att1SmallCarriers[[#This Row],[2023 Maximum Government Contribution
Family]]*(1+$B$14),2)</f>
        <v>611.41999999999996</v>
      </c>
      <c r="AI181" s="217" t="str">
        <f>IF(E181="","",MIN(Att1SmallCarriers[[#This Row],[ESTIMATED 2024 Maximum Government Contribution
Self]],ROUND(AC181*0.75,2)))</f>
        <v/>
      </c>
      <c r="AJ181" s="217" t="str">
        <f>IF(E181="","",MIN(Att1SmallCarriers[[#This Row],[ESTIMATED 2024 Maximum Government Contribution
Self+1]],ROUND(AD181*0.75,2)))</f>
        <v/>
      </c>
      <c r="AK181" s="217" t="str">
        <f>IF(E181="","",MIN(Att1SmallCarriers[[#This Row],[ESTIMATED 2024 Maximum Government Contribution
Family]],ROUND(AE181*0.75,2)))</f>
        <v/>
      </c>
      <c r="AL181" s="38" t="str">
        <f t="shared" si="69"/>
        <v/>
      </c>
      <c r="AM181" s="38" t="str">
        <f t="shared" si="70"/>
        <v/>
      </c>
      <c r="AN181" s="38" t="str">
        <f t="shared" si="71"/>
        <v/>
      </c>
      <c r="AO181" s="218" t="str">
        <f t="shared" si="57"/>
        <v/>
      </c>
      <c r="AP181" s="218" t="str">
        <f t="shared" si="58"/>
        <v/>
      </c>
      <c r="AQ181" s="218" t="str">
        <f t="shared" si="59"/>
        <v/>
      </c>
    </row>
  </sheetData>
  <sheetProtection algorithmName="SHA-512" hashValue="FNwsTOi7NleuUeScThAetSaTRlzXdDbN6O3bDo/DZIK79UT1cGAiSekUo/VH69Du3dGkWfe1TJlEZn0FclmyVQ==" saltValue="Oh3lbMvYS/gNI8fd/yY7VQ==" spinCount="100000" sheet="1" objects="1" scenarios="1"/>
  <protectedRanges>
    <protectedRange sqref="A19:P181" name="Range4"/>
    <protectedRange sqref="B3" name="Carrier Name"/>
    <protectedRange sqref="B5" name="TCR or CRC or ACR"/>
    <protectedRange sqref="B14" name="Percent Inc in Govt Max"/>
  </protectedRanges>
  <phoneticPr fontId="34"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BA30-3CDD-4397-A492-4452F56C53FC}">
  <dimension ref="A1:Q175"/>
  <sheetViews>
    <sheetView topLeftCell="A2" zoomScaleNormal="100" workbookViewId="0">
      <selection activeCell="A14" sqref="A14"/>
    </sheetView>
  </sheetViews>
  <sheetFormatPr defaultRowHeight="14.5" x14ac:dyDescent="0.35"/>
  <cols>
    <col min="1" max="1" width="20.453125" customWidth="1"/>
    <col min="2" max="2" width="26.453125" customWidth="1"/>
    <col min="3" max="3" width="17.1796875" customWidth="1"/>
    <col min="4" max="4" width="15.81640625" customWidth="1"/>
    <col min="5" max="6" width="32.7265625" customWidth="1"/>
    <col min="7" max="7" width="48.453125" customWidth="1"/>
    <col min="8" max="8" width="48.7265625" customWidth="1"/>
    <col min="9" max="9" width="48.81640625" customWidth="1"/>
    <col min="10" max="10" width="48.54296875" customWidth="1"/>
    <col min="11" max="11" width="46.54296875" customWidth="1"/>
    <col min="12" max="13" width="57.1796875" customWidth="1"/>
    <col min="14" max="14" width="83.81640625" customWidth="1"/>
    <col min="15" max="15" width="90" customWidth="1"/>
  </cols>
  <sheetData>
    <row r="1" spans="1:17" ht="48" customHeight="1" x14ac:dyDescent="0.35">
      <c r="A1" s="139" t="str">
        <f>"Attachment IA - SMALL CARRIER QUESTIONNAIRE"</f>
        <v>Attachment IA - SMALL CARRIER QUESTIONNAIRE</v>
      </c>
      <c r="B1" s="32"/>
      <c r="C1" s="32"/>
      <c r="D1" s="32"/>
      <c r="E1" s="32"/>
      <c r="F1" s="32"/>
      <c r="G1" s="32"/>
      <c r="H1" s="32"/>
      <c r="I1" s="32"/>
      <c r="J1" s="32"/>
      <c r="K1" s="32"/>
      <c r="L1" s="32"/>
      <c r="M1" s="32"/>
      <c r="N1" s="32"/>
    </row>
    <row r="2" spans="1:17" x14ac:dyDescent="0.35">
      <c r="A2" s="63" t="s">
        <v>1</v>
      </c>
      <c r="B2" s="177">
        <f>'Attachment I (Small Carriers)'!B3</f>
        <v>0</v>
      </c>
      <c r="P2" s="33"/>
      <c r="Q2" s="33"/>
    </row>
    <row r="3" spans="1:17" x14ac:dyDescent="0.35">
      <c r="A3" s="63" t="s">
        <v>76</v>
      </c>
      <c r="B3" s="178">
        <f>year</f>
        <v>2024</v>
      </c>
      <c r="P3" s="33"/>
      <c r="Q3" s="33"/>
    </row>
    <row r="4" spans="1:17" x14ac:dyDescent="0.35">
      <c r="P4" s="33"/>
      <c r="Q4" s="33"/>
    </row>
    <row r="5" spans="1:17" ht="18.5" x14ac:dyDescent="0.45">
      <c r="A5" s="155" t="s">
        <v>117</v>
      </c>
      <c r="P5" s="33"/>
      <c r="Q5" s="33"/>
    </row>
    <row r="6" spans="1:17" x14ac:dyDescent="0.35">
      <c r="A6" t="str">
        <f>"Questions 2 and 3 are asked to determine the OPM provided subscription income used in the MLR Calculation.  In lieu of answering these questions you may provide a copy of Attachment III from the "&amp;year-2&amp;" and "&amp;year-1&amp;" reconciliation."</f>
        <v>Questions 2 and 3 are asked to determine the OPM provided subscription income used in the MLR Calculation.  In lieu of answering these questions you may provide a copy of Attachment III from the 2022 and 2023 reconciliation.</v>
      </c>
      <c r="P6" s="33"/>
      <c r="Q6" s="33"/>
    </row>
    <row r="7" spans="1:17" x14ac:dyDescent="0.35">
      <c r="A7" t="s">
        <v>178</v>
      </c>
      <c r="P7" s="33"/>
      <c r="Q7" s="33"/>
    </row>
    <row r="8" spans="1:17" x14ac:dyDescent="0.35">
      <c r="A8" s="156" t="s">
        <v>116</v>
      </c>
      <c r="P8" s="33"/>
      <c r="Q8" s="33"/>
    </row>
    <row r="9" spans="1:17" x14ac:dyDescent="0.35">
      <c r="A9" s="157" t="s">
        <v>179</v>
      </c>
      <c r="P9" s="33"/>
      <c r="Q9" s="33"/>
    </row>
    <row r="10" spans="1:17" x14ac:dyDescent="0.35">
      <c r="A10" s="157"/>
      <c r="P10" s="33"/>
      <c r="Q10" s="33"/>
    </row>
    <row r="11" spans="1:17" ht="19" thickBot="1" x14ac:dyDescent="0.5">
      <c r="A11" s="155" t="s">
        <v>115</v>
      </c>
      <c r="P11" s="33"/>
      <c r="Q11" s="33"/>
    </row>
    <row r="12" spans="1:17" s="33" customFormat="1" ht="39" thickBot="1" x14ac:dyDescent="0.4">
      <c r="A12" s="224" t="s">
        <v>91</v>
      </c>
      <c r="B12" s="225" t="s">
        <v>114</v>
      </c>
      <c r="C12" s="226" t="s">
        <v>90</v>
      </c>
      <c r="D12" s="227" t="s">
        <v>93</v>
      </c>
      <c r="E12" s="229" t="s">
        <v>118</v>
      </c>
      <c r="F12" s="230" t="s">
        <v>184</v>
      </c>
      <c r="G12" s="231" t="s">
        <v>180</v>
      </c>
      <c r="H12" s="232" t="s">
        <v>181</v>
      </c>
      <c r="I12" s="230" t="s">
        <v>187</v>
      </c>
      <c r="J12" s="231" t="s">
        <v>185</v>
      </c>
      <c r="K12" s="232" t="s">
        <v>186</v>
      </c>
      <c r="L12" s="230" t="s">
        <v>182</v>
      </c>
      <c r="M12" s="231" t="s">
        <v>177</v>
      </c>
      <c r="N12" s="232" t="s">
        <v>183</v>
      </c>
      <c r="O12" s="34"/>
    </row>
    <row r="13" spans="1:17" x14ac:dyDescent="0.35">
      <c r="A13" s="228" t="str">
        <f>IF('Attachment I (Small Carriers)'!A19="","",'Attachment I (Small Carriers)'!A19)</f>
        <v/>
      </c>
      <c r="B13" s="228" t="str">
        <f>IF('Attachment I (Small Carriers)'!B19="","",'Attachment I (Small Carriers)'!B19)</f>
        <v/>
      </c>
      <c r="C13" s="228" t="str">
        <f>IF('Attachment I (Small Carriers)'!C19="","",'Attachment I (Small Carriers)'!C19)</f>
        <v/>
      </c>
      <c r="D13" s="228" t="str">
        <f>IF('Attachment I (Small Carriers)'!D19="","",'Attachment I (Small Carriers)'!D19)</f>
        <v/>
      </c>
      <c r="E13" s="33"/>
      <c r="F13" s="33"/>
      <c r="G13" s="33"/>
      <c r="H13" s="33"/>
      <c r="I13" s="33"/>
      <c r="J13" s="33"/>
      <c r="K13" s="33"/>
      <c r="L13" s="33"/>
      <c r="M13" s="33"/>
      <c r="N13" s="33"/>
      <c r="O13" s="33"/>
      <c r="P13" s="33"/>
      <c r="Q13" s="33"/>
    </row>
    <row r="14" spans="1:17" x14ac:dyDescent="0.35">
      <c r="A14" s="37" t="str">
        <f>IF('Attachment I (Small Carriers)'!A20="","",'Attachment I (Small Carriers)'!A20)</f>
        <v/>
      </c>
      <c r="B14" s="37" t="str">
        <f>IF('Attachment I (Small Carriers)'!B20="","",'Attachment I (Small Carriers)'!B20)</f>
        <v/>
      </c>
      <c r="C14" s="37" t="str">
        <f>IF('Attachment I (Small Carriers)'!C20="","",'Attachment I (Small Carriers)'!C20)</f>
        <v/>
      </c>
      <c r="D14" s="37" t="str">
        <f>IF('Attachment I (Small Carriers)'!D20="","",'Attachment I (Small Carriers)'!D20)</f>
        <v/>
      </c>
      <c r="E14" s="33"/>
      <c r="F14" s="33"/>
      <c r="G14" s="33"/>
      <c r="H14" s="33"/>
      <c r="I14" s="33"/>
      <c r="J14" s="33"/>
      <c r="K14" s="33"/>
      <c r="L14" s="33"/>
      <c r="M14" s="33"/>
      <c r="N14" s="33"/>
      <c r="O14" s="33"/>
      <c r="P14" s="33"/>
      <c r="Q14" s="33"/>
    </row>
    <row r="15" spans="1:17" ht="15.5" x14ac:dyDescent="0.35">
      <c r="A15" s="37" t="str">
        <f>IF('Attachment I (Small Carriers)'!A21="","",'Attachment I (Small Carriers)'!A21)</f>
        <v/>
      </c>
      <c r="B15" s="37" t="str">
        <f>IF('Attachment I (Small Carriers)'!B21="","",'Attachment I (Small Carriers)'!B21)</f>
        <v/>
      </c>
      <c r="C15" s="37" t="str">
        <f>IF('Attachment I (Small Carriers)'!C21="","",'Attachment I (Small Carriers)'!C21)</f>
        <v/>
      </c>
      <c r="D15" s="37" t="str">
        <f>IF('Attachment I (Small Carriers)'!D21="","",'Attachment I (Small Carriers)'!D21)</f>
        <v/>
      </c>
      <c r="E15" s="33"/>
      <c r="F15" s="33"/>
      <c r="G15" s="35" t="s">
        <v>92</v>
      </c>
      <c r="H15" s="35" t="s">
        <v>92</v>
      </c>
      <c r="I15" s="33"/>
      <c r="J15" s="33"/>
      <c r="K15" s="33"/>
      <c r="L15" s="33"/>
      <c r="M15" s="33"/>
      <c r="N15" s="33"/>
      <c r="O15" s="33"/>
      <c r="P15" s="33"/>
      <c r="Q15" s="33"/>
    </row>
    <row r="16" spans="1:17" x14ac:dyDescent="0.35">
      <c r="A16" s="37" t="str">
        <f>IF('Attachment I (Small Carriers)'!A22="","",'Attachment I (Small Carriers)'!A22)</f>
        <v/>
      </c>
      <c r="B16" s="37" t="str">
        <f>IF('Attachment I (Small Carriers)'!B22="","",'Attachment I (Small Carriers)'!B22)</f>
        <v/>
      </c>
      <c r="C16" s="37" t="str">
        <f>IF('Attachment I (Small Carriers)'!C22="","",'Attachment I (Small Carriers)'!C22)</f>
        <v/>
      </c>
      <c r="D16" s="37" t="str">
        <f>IF('Attachment I (Small Carriers)'!D22="","",'Attachment I (Small Carriers)'!D22)</f>
        <v/>
      </c>
      <c r="E16" s="33"/>
      <c r="F16" s="33"/>
      <c r="G16" s="33"/>
      <c r="H16" s="33"/>
      <c r="I16" s="33"/>
      <c r="J16" s="33"/>
      <c r="K16" s="33"/>
      <c r="L16" s="33"/>
      <c r="M16" s="33"/>
      <c r="N16" s="33"/>
      <c r="O16" s="33"/>
      <c r="P16" s="33"/>
      <c r="Q16" s="33"/>
    </row>
    <row r="17" spans="1:17" x14ac:dyDescent="0.35">
      <c r="A17" s="37" t="str">
        <f>IF('Attachment I (Small Carriers)'!A23="","",'Attachment I (Small Carriers)'!A23)</f>
        <v/>
      </c>
      <c r="B17" s="37" t="str">
        <f>IF('Attachment I (Small Carriers)'!B23="","",'Attachment I (Small Carriers)'!B23)</f>
        <v/>
      </c>
      <c r="C17" s="37" t="str">
        <f>IF('Attachment I (Small Carriers)'!C23="","",'Attachment I (Small Carriers)'!C23)</f>
        <v/>
      </c>
      <c r="D17" s="37" t="str">
        <f>IF('Attachment I (Small Carriers)'!D23="","",'Attachment I (Small Carriers)'!D23)</f>
        <v/>
      </c>
      <c r="E17" s="33"/>
      <c r="F17" s="33"/>
      <c r="G17" s="33"/>
      <c r="H17" s="33"/>
      <c r="I17" s="33"/>
      <c r="J17" s="33"/>
      <c r="K17" s="33"/>
      <c r="L17" s="33"/>
      <c r="M17" s="33"/>
      <c r="N17" s="33"/>
      <c r="O17" s="33"/>
      <c r="P17" s="33"/>
      <c r="Q17" s="33"/>
    </row>
    <row r="18" spans="1:17" x14ac:dyDescent="0.35">
      <c r="A18" s="37" t="str">
        <f>IF('Attachment I (Small Carriers)'!A24="","",'Attachment I (Small Carriers)'!A24)</f>
        <v/>
      </c>
      <c r="B18" s="37" t="str">
        <f>IF('Attachment I (Small Carriers)'!B24="","",'Attachment I (Small Carriers)'!B24)</f>
        <v/>
      </c>
      <c r="C18" s="37" t="str">
        <f>IF('Attachment I (Small Carriers)'!C24="","",'Attachment I (Small Carriers)'!C24)</f>
        <v/>
      </c>
      <c r="D18" s="37" t="str">
        <f>IF('Attachment I (Small Carriers)'!D24="","",'Attachment I (Small Carriers)'!D24)</f>
        <v/>
      </c>
    </row>
    <row r="19" spans="1:17" x14ac:dyDescent="0.35">
      <c r="A19" s="37" t="str">
        <f>IF('Attachment I (Small Carriers)'!A25="","",'Attachment I (Small Carriers)'!A25)</f>
        <v/>
      </c>
      <c r="B19" s="37" t="str">
        <f>IF('Attachment I (Small Carriers)'!B25="","",'Attachment I (Small Carriers)'!B25)</f>
        <v/>
      </c>
      <c r="C19" s="37" t="str">
        <f>IF('Attachment I (Small Carriers)'!C25="","",'Attachment I (Small Carriers)'!C25)</f>
        <v/>
      </c>
      <c r="D19" s="37" t="str">
        <f>IF('Attachment I (Small Carriers)'!D25="","",'Attachment I (Small Carriers)'!D25)</f>
        <v/>
      </c>
    </row>
    <row r="20" spans="1:17" x14ac:dyDescent="0.35">
      <c r="A20" s="37" t="str">
        <f>IF('Attachment I (Small Carriers)'!A26="","",'Attachment I (Small Carriers)'!A26)</f>
        <v/>
      </c>
      <c r="B20" s="37" t="str">
        <f>IF('Attachment I (Small Carriers)'!B26="","",'Attachment I (Small Carriers)'!B26)</f>
        <v/>
      </c>
      <c r="C20" s="37" t="str">
        <f>IF('Attachment I (Small Carriers)'!C26="","",'Attachment I (Small Carriers)'!C26)</f>
        <v/>
      </c>
      <c r="D20" s="37" t="str">
        <f>IF('Attachment I (Small Carriers)'!D26="","",'Attachment I (Small Carriers)'!D26)</f>
        <v/>
      </c>
    </row>
    <row r="21" spans="1:17" x14ac:dyDescent="0.35">
      <c r="A21" s="37" t="str">
        <f>IF('Attachment I (Small Carriers)'!A27="","",'Attachment I (Small Carriers)'!A27)</f>
        <v/>
      </c>
      <c r="B21" s="37" t="str">
        <f>IF('Attachment I (Small Carriers)'!B27="","",'Attachment I (Small Carriers)'!B27)</f>
        <v/>
      </c>
      <c r="C21" s="37" t="str">
        <f>IF('Attachment I (Small Carriers)'!C27="","",'Attachment I (Small Carriers)'!C27)</f>
        <v/>
      </c>
      <c r="D21" s="37" t="str">
        <f>IF('Attachment I (Small Carriers)'!D27="","",'Attachment I (Small Carriers)'!D27)</f>
        <v/>
      </c>
    </row>
    <row r="22" spans="1:17" x14ac:dyDescent="0.35">
      <c r="A22" s="37" t="str">
        <f>IF('Attachment I (Small Carriers)'!A28="","",'Attachment I (Small Carriers)'!A28)</f>
        <v/>
      </c>
      <c r="B22" s="37" t="str">
        <f>IF('Attachment I (Small Carriers)'!B28="","",'Attachment I (Small Carriers)'!B28)</f>
        <v/>
      </c>
      <c r="C22" s="37" t="str">
        <f>IF('Attachment I (Small Carriers)'!C28="","",'Attachment I (Small Carriers)'!C28)</f>
        <v/>
      </c>
      <c r="D22" s="37" t="str">
        <f>IF('Attachment I (Small Carriers)'!D28="","",'Attachment I (Small Carriers)'!D28)</f>
        <v/>
      </c>
    </row>
    <row r="23" spans="1:17" x14ac:dyDescent="0.35">
      <c r="A23" s="37" t="str">
        <f>IF('Attachment I (Small Carriers)'!A29="","",'Attachment I (Small Carriers)'!A29)</f>
        <v/>
      </c>
      <c r="B23" s="37" t="str">
        <f>IF('Attachment I (Small Carriers)'!B29="","",'Attachment I (Small Carriers)'!B29)</f>
        <v/>
      </c>
      <c r="C23" s="37" t="str">
        <f>IF('Attachment I (Small Carriers)'!C29="","",'Attachment I (Small Carriers)'!C29)</f>
        <v/>
      </c>
      <c r="D23" s="37" t="str">
        <f>IF('Attachment I (Small Carriers)'!D29="","",'Attachment I (Small Carriers)'!D29)</f>
        <v/>
      </c>
    </row>
    <row r="24" spans="1:17" x14ac:dyDescent="0.35">
      <c r="A24" s="37" t="str">
        <f>IF('Attachment I (Small Carriers)'!A30="","",'Attachment I (Small Carriers)'!A30)</f>
        <v/>
      </c>
      <c r="B24" s="37" t="str">
        <f>IF('Attachment I (Small Carriers)'!B30="","",'Attachment I (Small Carriers)'!B30)</f>
        <v/>
      </c>
      <c r="C24" s="37" t="str">
        <f>IF('Attachment I (Small Carriers)'!C30="","",'Attachment I (Small Carriers)'!C30)</f>
        <v/>
      </c>
      <c r="D24" s="37" t="str">
        <f>IF('Attachment I (Small Carriers)'!D30="","",'Attachment I (Small Carriers)'!D30)</f>
        <v/>
      </c>
    </row>
    <row r="25" spans="1:17" x14ac:dyDescent="0.35">
      <c r="A25" s="37" t="str">
        <f>IF('Attachment I (Small Carriers)'!A31="","",'Attachment I (Small Carriers)'!A31)</f>
        <v/>
      </c>
      <c r="B25" s="37" t="str">
        <f>IF('Attachment I (Small Carriers)'!B31="","",'Attachment I (Small Carriers)'!B31)</f>
        <v/>
      </c>
      <c r="C25" s="37" t="str">
        <f>IF('Attachment I (Small Carriers)'!C31="","",'Attachment I (Small Carriers)'!C31)</f>
        <v/>
      </c>
      <c r="D25" s="37" t="str">
        <f>IF('Attachment I (Small Carriers)'!D31="","",'Attachment I (Small Carriers)'!D31)</f>
        <v/>
      </c>
    </row>
    <row r="26" spans="1:17" x14ac:dyDescent="0.35">
      <c r="A26" s="37" t="str">
        <f>IF('Attachment I (Small Carriers)'!A32="","",'Attachment I (Small Carriers)'!A32)</f>
        <v/>
      </c>
      <c r="B26" s="37" t="str">
        <f>IF('Attachment I (Small Carriers)'!B32="","",'Attachment I (Small Carriers)'!B32)</f>
        <v/>
      </c>
      <c r="C26" s="37" t="str">
        <f>IF('Attachment I (Small Carriers)'!C32="","",'Attachment I (Small Carriers)'!C32)</f>
        <v/>
      </c>
      <c r="D26" s="37" t="str">
        <f>IF('Attachment I (Small Carriers)'!D32="","",'Attachment I (Small Carriers)'!D32)</f>
        <v/>
      </c>
    </row>
    <row r="27" spans="1:17" x14ac:dyDescent="0.35">
      <c r="A27" s="37" t="str">
        <f>IF('Attachment I (Small Carriers)'!A33="","",'Attachment I (Small Carriers)'!A33)</f>
        <v/>
      </c>
      <c r="B27" s="37" t="str">
        <f>IF('Attachment I (Small Carriers)'!B33="","",'Attachment I (Small Carriers)'!B33)</f>
        <v/>
      </c>
      <c r="C27" s="37" t="str">
        <f>IF('Attachment I (Small Carriers)'!C33="","",'Attachment I (Small Carriers)'!C33)</f>
        <v/>
      </c>
      <c r="D27" s="37" t="str">
        <f>IF('Attachment I (Small Carriers)'!D33="","",'Attachment I (Small Carriers)'!D33)</f>
        <v/>
      </c>
    </row>
    <row r="28" spans="1:17" x14ac:dyDescent="0.35">
      <c r="A28" s="37" t="str">
        <f>IF('Attachment I (Small Carriers)'!A34="","",'Attachment I (Small Carriers)'!A34)</f>
        <v/>
      </c>
      <c r="B28" s="37" t="str">
        <f>IF('Attachment I (Small Carriers)'!B34="","",'Attachment I (Small Carriers)'!B34)</f>
        <v/>
      </c>
      <c r="C28" s="37" t="str">
        <f>IF('Attachment I (Small Carriers)'!C34="","",'Attachment I (Small Carriers)'!C34)</f>
        <v/>
      </c>
      <c r="D28" s="37" t="str">
        <f>IF('Attachment I (Small Carriers)'!D34="","",'Attachment I (Small Carriers)'!D34)</f>
        <v/>
      </c>
    </row>
    <row r="29" spans="1:17" x14ac:dyDescent="0.35">
      <c r="A29" s="37" t="str">
        <f>IF('Attachment I (Small Carriers)'!A35="","",'Attachment I (Small Carriers)'!A35)</f>
        <v/>
      </c>
      <c r="B29" s="37" t="str">
        <f>IF('Attachment I (Small Carriers)'!B35="","",'Attachment I (Small Carriers)'!B35)</f>
        <v/>
      </c>
      <c r="C29" s="37" t="str">
        <f>IF('Attachment I (Small Carriers)'!C35="","",'Attachment I (Small Carriers)'!C35)</f>
        <v/>
      </c>
      <c r="D29" s="37" t="str">
        <f>IF('Attachment I (Small Carriers)'!D35="","",'Attachment I (Small Carriers)'!D35)</f>
        <v/>
      </c>
    </row>
    <row r="30" spans="1:17" x14ac:dyDescent="0.35">
      <c r="A30" s="37" t="str">
        <f>IF('Attachment I (Small Carriers)'!A36="","",'Attachment I (Small Carriers)'!A36)</f>
        <v/>
      </c>
      <c r="B30" s="37" t="str">
        <f>IF('Attachment I (Small Carriers)'!B36="","",'Attachment I (Small Carriers)'!B36)</f>
        <v/>
      </c>
      <c r="C30" s="37" t="str">
        <f>IF('Attachment I (Small Carriers)'!C36="","",'Attachment I (Small Carriers)'!C36)</f>
        <v/>
      </c>
      <c r="D30" s="37" t="str">
        <f>IF('Attachment I (Small Carriers)'!D36="","",'Attachment I (Small Carriers)'!D36)</f>
        <v/>
      </c>
    </row>
    <row r="31" spans="1:17" x14ac:dyDescent="0.35">
      <c r="A31" s="37" t="str">
        <f>IF('Attachment I (Small Carriers)'!A37="","",'Attachment I (Small Carriers)'!A37)</f>
        <v/>
      </c>
      <c r="B31" s="37" t="str">
        <f>IF('Attachment I (Small Carriers)'!B37="","",'Attachment I (Small Carriers)'!B37)</f>
        <v/>
      </c>
      <c r="C31" s="37" t="str">
        <f>IF('Attachment I (Small Carriers)'!C37="","",'Attachment I (Small Carriers)'!C37)</f>
        <v/>
      </c>
      <c r="D31" s="37" t="str">
        <f>IF('Attachment I (Small Carriers)'!D37="","",'Attachment I (Small Carriers)'!D37)</f>
        <v/>
      </c>
    </row>
    <row r="32" spans="1:17" x14ac:dyDescent="0.35">
      <c r="A32" s="37" t="str">
        <f>IF('Attachment I (Small Carriers)'!A38="","",'Attachment I (Small Carriers)'!A38)</f>
        <v/>
      </c>
      <c r="B32" s="37" t="str">
        <f>IF('Attachment I (Small Carriers)'!B38="","",'Attachment I (Small Carriers)'!B38)</f>
        <v/>
      </c>
      <c r="C32" s="37" t="str">
        <f>IF('Attachment I (Small Carriers)'!C38="","",'Attachment I (Small Carriers)'!C38)</f>
        <v/>
      </c>
      <c r="D32" s="37" t="str">
        <f>IF('Attachment I (Small Carriers)'!D38="","",'Attachment I (Small Carriers)'!D38)</f>
        <v/>
      </c>
    </row>
    <row r="33" spans="1:4" x14ac:dyDescent="0.35">
      <c r="A33" s="37" t="str">
        <f>IF('Attachment I (Small Carriers)'!A39="","",'Attachment I (Small Carriers)'!A39)</f>
        <v/>
      </c>
      <c r="B33" s="37" t="str">
        <f>IF('Attachment I (Small Carriers)'!B39="","",'Attachment I (Small Carriers)'!B39)</f>
        <v/>
      </c>
      <c r="C33" s="37" t="str">
        <f>IF('Attachment I (Small Carriers)'!C39="","",'Attachment I (Small Carriers)'!C39)</f>
        <v/>
      </c>
      <c r="D33" s="37" t="str">
        <f>IF('Attachment I (Small Carriers)'!D39="","",'Attachment I (Small Carriers)'!D39)</f>
        <v/>
      </c>
    </row>
    <row r="34" spans="1:4" x14ac:dyDescent="0.35">
      <c r="A34" s="37" t="str">
        <f>IF('Attachment I (Small Carriers)'!A40="","",'Attachment I (Small Carriers)'!A40)</f>
        <v/>
      </c>
      <c r="B34" s="37" t="str">
        <f>IF('Attachment I (Small Carriers)'!B40="","",'Attachment I (Small Carriers)'!B40)</f>
        <v/>
      </c>
      <c r="C34" s="37" t="str">
        <f>IF('Attachment I (Small Carriers)'!C40="","",'Attachment I (Small Carriers)'!C40)</f>
        <v/>
      </c>
      <c r="D34" s="37" t="str">
        <f>IF('Attachment I (Small Carriers)'!D40="","",'Attachment I (Small Carriers)'!D40)</f>
        <v/>
      </c>
    </row>
    <row r="35" spans="1:4" x14ac:dyDescent="0.35">
      <c r="A35" s="37" t="str">
        <f>IF('Attachment I (Small Carriers)'!A41="","",'Attachment I (Small Carriers)'!A41)</f>
        <v/>
      </c>
      <c r="B35" s="37" t="str">
        <f>IF('Attachment I (Small Carriers)'!B41="","",'Attachment I (Small Carriers)'!B41)</f>
        <v/>
      </c>
      <c r="C35" s="37" t="str">
        <f>IF('Attachment I (Small Carriers)'!C41="","",'Attachment I (Small Carriers)'!C41)</f>
        <v/>
      </c>
      <c r="D35" s="37" t="str">
        <f>IF('Attachment I (Small Carriers)'!D41="","",'Attachment I (Small Carriers)'!D41)</f>
        <v/>
      </c>
    </row>
    <row r="36" spans="1:4" x14ac:dyDescent="0.35">
      <c r="A36" s="37" t="str">
        <f>IF('Attachment I (Small Carriers)'!A42="","",'Attachment I (Small Carriers)'!A42)</f>
        <v/>
      </c>
      <c r="B36" s="37" t="str">
        <f>IF('Attachment I (Small Carriers)'!B42="","",'Attachment I (Small Carriers)'!B42)</f>
        <v/>
      </c>
      <c r="C36" s="37" t="str">
        <f>IF('Attachment I (Small Carriers)'!C42="","",'Attachment I (Small Carriers)'!C42)</f>
        <v/>
      </c>
      <c r="D36" s="37" t="str">
        <f>IF('Attachment I (Small Carriers)'!D42="","",'Attachment I (Small Carriers)'!D42)</f>
        <v/>
      </c>
    </row>
    <row r="37" spans="1:4" x14ac:dyDescent="0.35">
      <c r="A37" s="37" t="str">
        <f>IF('Attachment I (Small Carriers)'!A43="","",'Attachment I (Small Carriers)'!A43)</f>
        <v/>
      </c>
      <c r="B37" s="37" t="str">
        <f>IF('Attachment I (Small Carriers)'!B43="","",'Attachment I (Small Carriers)'!B43)</f>
        <v/>
      </c>
      <c r="C37" s="37" t="str">
        <f>IF('Attachment I (Small Carriers)'!C43="","",'Attachment I (Small Carriers)'!C43)</f>
        <v/>
      </c>
      <c r="D37" s="37" t="str">
        <f>IF('Attachment I (Small Carriers)'!D43="","",'Attachment I (Small Carriers)'!D43)</f>
        <v/>
      </c>
    </row>
    <row r="38" spans="1:4" x14ac:dyDescent="0.35">
      <c r="A38" s="37" t="str">
        <f>IF('Attachment I (Small Carriers)'!A44="","",'Attachment I (Small Carriers)'!A44)</f>
        <v/>
      </c>
      <c r="B38" s="37" t="str">
        <f>IF('Attachment I (Small Carriers)'!B44="","",'Attachment I (Small Carriers)'!B44)</f>
        <v/>
      </c>
      <c r="C38" s="37" t="str">
        <f>IF('Attachment I (Small Carriers)'!C44="","",'Attachment I (Small Carriers)'!C44)</f>
        <v/>
      </c>
      <c r="D38" s="37" t="str">
        <f>IF('Attachment I (Small Carriers)'!D44="","",'Attachment I (Small Carriers)'!D44)</f>
        <v/>
      </c>
    </row>
    <row r="39" spans="1:4" x14ac:dyDescent="0.35">
      <c r="A39" s="37" t="str">
        <f>IF('Attachment I (Small Carriers)'!A45="","",'Attachment I (Small Carriers)'!A45)</f>
        <v/>
      </c>
      <c r="B39" s="37" t="str">
        <f>IF('Attachment I (Small Carriers)'!B45="","",'Attachment I (Small Carriers)'!B45)</f>
        <v/>
      </c>
      <c r="C39" s="37" t="str">
        <f>IF('Attachment I (Small Carriers)'!C45="","",'Attachment I (Small Carriers)'!C45)</f>
        <v/>
      </c>
      <c r="D39" s="37" t="str">
        <f>IF('Attachment I (Small Carriers)'!D45="","",'Attachment I (Small Carriers)'!D45)</f>
        <v/>
      </c>
    </row>
    <row r="40" spans="1:4" x14ac:dyDescent="0.35">
      <c r="A40" s="37" t="str">
        <f>IF('Attachment I (Small Carriers)'!A46="","",'Attachment I (Small Carriers)'!A46)</f>
        <v/>
      </c>
      <c r="B40" s="37" t="str">
        <f>IF('Attachment I (Small Carriers)'!B46="","",'Attachment I (Small Carriers)'!B46)</f>
        <v/>
      </c>
      <c r="C40" s="37" t="str">
        <f>IF('Attachment I (Small Carriers)'!C46="","",'Attachment I (Small Carriers)'!C46)</f>
        <v/>
      </c>
      <c r="D40" s="37" t="str">
        <f>IF('Attachment I (Small Carriers)'!D46="","",'Attachment I (Small Carriers)'!D46)</f>
        <v/>
      </c>
    </row>
    <row r="41" spans="1:4" x14ac:dyDescent="0.35">
      <c r="A41" s="37" t="str">
        <f>IF('Attachment I (Small Carriers)'!A47="","",'Attachment I (Small Carriers)'!A47)</f>
        <v/>
      </c>
      <c r="B41" s="37" t="str">
        <f>IF('Attachment I (Small Carriers)'!B47="","",'Attachment I (Small Carriers)'!B47)</f>
        <v/>
      </c>
      <c r="C41" s="37" t="str">
        <f>IF('Attachment I (Small Carriers)'!C47="","",'Attachment I (Small Carriers)'!C47)</f>
        <v/>
      </c>
      <c r="D41" s="37" t="str">
        <f>IF('Attachment I (Small Carriers)'!D47="","",'Attachment I (Small Carriers)'!D47)</f>
        <v/>
      </c>
    </row>
    <row r="42" spans="1:4" x14ac:dyDescent="0.35">
      <c r="A42" s="37" t="str">
        <f>IF('Attachment I (Small Carriers)'!A48="","",'Attachment I (Small Carriers)'!A48)</f>
        <v/>
      </c>
      <c r="B42" s="37" t="str">
        <f>IF('Attachment I (Small Carriers)'!B48="","",'Attachment I (Small Carriers)'!B48)</f>
        <v/>
      </c>
      <c r="C42" s="37" t="str">
        <f>IF('Attachment I (Small Carriers)'!C48="","",'Attachment I (Small Carriers)'!C48)</f>
        <v/>
      </c>
      <c r="D42" s="37" t="str">
        <f>IF('Attachment I (Small Carriers)'!D48="","",'Attachment I (Small Carriers)'!D48)</f>
        <v/>
      </c>
    </row>
    <row r="43" spans="1:4" x14ac:dyDescent="0.35">
      <c r="A43" s="37" t="str">
        <f>IF('Attachment I (Small Carriers)'!A49="","",'Attachment I (Small Carriers)'!A49)</f>
        <v/>
      </c>
      <c r="B43" s="37" t="str">
        <f>IF('Attachment I (Small Carriers)'!B49="","",'Attachment I (Small Carriers)'!B49)</f>
        <v/>
      </c>
      <c r="C43" s="37" t="str">
        <f>IF('Attachment I (Small Carriers)'!C49="","",'Attachment I (Small Carriers)'!C49)</f>
        <v/>
      </c>
      <c r="D43" s="37" t="str">
        <f>IF('Attachment I (Small Carriers)'!D49="","",'Attachment I (Small Carriers)'!D49)</f>
        <v/>
      </c>
    </row>
    <row r="44" spans="1:4" x14ac:dyDescent="0.35">
      <c r="A44" s="37" t="str">
        <f>IF('Attachment I (Small Carriers)'!A50="","",'Attachment I (Small Carriers)'!A50)</f>
        <v/>
      </c>
      <c r="B44" s="37" t="str">
        <f>IF('Attachment I (Small Carriers)'!B50="","",'Attachment I (Small Carriers)'!B50)</f>
        <v/>
      </c>
      <c r="C44" s="37" t="str">
        <f>IF('Attachment I (Small Carriers)'!C50="","",'Attachment I (Small Carriers)'!C50)</f>
        <v/>
      </c>
      <c r="D44" s="37" t="str">
        <f>IF('Attachment I (Small Carriers)'!D50="","",'Attachment I (Small Carriers)'!D50)</f>
        <v/>
      </c>
    </row>
    <row r="45" spans="1:4" x14ac:dyDescent="0.35">
      <c r="A45" s="37" t="str">
        <f>IF('Attachment I (Small Carriers)'!A51="","",'Attachment I (Small Carriers)'!A51)</f>
        <v/>
      </c>
      <c r="B45" s="37" t="str">
        <f>IF('Attachment I (Small Carriers)'!B51="","",'Attachment I (Small Carriers)'!B51)</f>
        <v/>
      </c>
      <c r="C45" s="37" t="str">
        <f>IF('Attachment I (Small Carriers)'!C51="","",'Attachment I (Small Carriers)'!C51)</f>
        <v/>
      </c>
      <c r="D45" s="37" t="str">
        <f>IF('Attachment I (Small Carriers)'!D51="","",'Attachment I (Small Carriers)'!D51)</f>
        <v/>
      </c>
    </row>
    <row r="46" spans="1:4" x14ac:dyDescent="0.35">
      <c r="A46" s="37" t="str">
        <f>IF('Attachment I (Small Carriers)'!A52="","",'Attachment I (Small Carriers)'!A52)</f>
        <v/>
      </c>
      <c r="B46" s="37" t="str">
        <f>IF('Attachment I (Small Carriers)'!B52="","",'Attachment I (Small Carriers)'!B52)</f>
        <v/>
      </c>
      <c r="C46" s="37" t="str">
        <f>IF('Attachment I (Small Carriers)'!C52="","",'Attachment I (Small Carriers)'!C52)</f>
        <v/>
      </c>
      <c r="D46" s="37" t="str">
        <f>IF('Attachment I (Small Carriers)'!D52="","",'Attachment I (Small Carriers)'!D52)</f>
        <v/>
      </c>
    </row>
    <row r="47" spans="1:4" x14ac:dyDescent="0.35">
      <c r="A47" s="37" t="str">
        <f>IF('Attachment I (Small Carriers)'!A53="","",'Attachment I (Small Carriers)'!A53)</f>
        <v/>
      </c>
      <c r="B47" s="37" t="str">
        <f>IF('Attachment I (Small Carriers)'!B53="","",'Attachment I (Small Carriers)'!B53)</f>
        <v/>
      </c>
      <c r="C47" s="37" t="str">
        <f>IF('Attachment I (Small Carriers)'!C53="","",'Attachment I (Small Carriers)'!C53)</f>
        <v/>
      </c>
      <c r="D47" s="37" t="str">
        <f>IF('Attachment I (Small Carriers)'!D53="","",'Attachment I (Small Carriers)'!D53)</f>
        <v/>
      </c>
    </row>
    <row r="48" spans="1:4" x14ac:dyDescent="0.35">
      <c r="A48" s="37" t="str">
        <f>IF('Attachment I (Small Carriers)'!A54="","",'Attachment I (Small Carriers)'!A54)</f>
        <v/>
      </c>
      <c r="B48" s="37" t="str">
        <f>IF('Attachment I (Small Carriers)'!B54="","",'Attachment I (Small Carriers)'!B54)</f>
        <v/>
      </c>
      <c r="C48" s="37" t="str">
        <f>IF('Attachment I (Small Carriers)'!C54="","",'Attachment I (Small Carriers)'!C54)</f>
        <v/>
      </c>
      <c r="D48" s="37" t="str">
        <f>IF('Attachment I (Small Carriers)'!D54="","",'Attachment I (Small Carriers)'!D54)</f>
        <v/>
      </c>
    </row>
    <row r="49" spans="1:4" x14ac:dyDescent="0.35">
      <c r="A49" s="37" t="str">
        <f>IF('Attachment I (Small Carriers)'!A55="","",'Attachment I (Small Carriers)'!A55)</f>
        <v/>
      </c>
      <c r="B49" s="37" t="str">
        <f>IF('Attachment I (Small Carriers)'!B55="","",'Attachment I (Small Carriers)'!B55)</f>
        <v/>
      </c>
      <c r="C49" s="37" t="str">
        <f>IF('Attachment I (Small Carriers)'!C55="","",'Attachment I (Small Carriers)'!C55)</f>
        <v/>
      </c>
      <c r="D49" s="37" t="str">
        <f>IF('Attachment I (Small Carriers)'!D55="","",'Attachment I (Small Carriers)'!D55)</f>
        <v/>
      </c>
    </row>
    <row r="50" spans="1:4" x14ac:dyDescent="0.35">
      <c r="A50" s="37" t="str">
        <f>IF('Attachment I (Small Carriers)'!A56="","",'Attachment I (Small Carriers)'!A56)</f>
        <v/>
      </c>
      <c r="B50" s="37" t="str">
        <f>IF('Attachment I (Small Carriers)'!B56="","",'Attachment I (Small Carriers)'!B56)</f>
        <v/>
      </c>
      <c r="C50" s="37" t="str">
        <f>IF('Attachment I (Small Carriers)'!C56="","",'Attachment I (Small Carriers)'!C56)</f>
        <v/>
      </c>
      <c r="D50" s="37" t="str">
        <f>IF('Attachment I (Small Carriers)'!D56="","",'Attachment I (Small Carriers)'!D56)</f>
        <v/>
      </c>
    </row>
    <row r="51" spans="1:4" x14ac:dyDescent="0.35">
      <c r="A51" s="37" t="str">
        <f>IF('Attachment I (Small Carriers)'!A57="","",'Attachment I (Small Carriers)'!A57)</f>
        <v/>
      </c>
      <c r="B51" s="37" t="str">
        <f>IF('Attachment I (Small Carriers)'!B57="","",'Attachment I (Small Carriers)'!B57)</f>
        <v/>
      </c>
      <c r="C51" s="37" t="str">
        <f>IF('Attachment I (Small Carriers)'!C57="","",'Attachment I (Small Carriers)'!C57)</f>
        <v/>
      </c>
      <c r="D51" s="37" t="str">
        <f>IF('Attachment I (Small Carriers)'!D57="","",'Attachment I (Small Carriers)'!D57)</f>
        <v/>
      </c>
    </row>
    <row r="52" spans="1:4" x14ac:dyDescent="0.35">
      <c r="A52" s="37" t="str">
        <f>IF('Attachment I (Small Carriers)'!A58="","",'Attachment I (Small Carriers)'!A58)</f>
        <v/>
      </c>
      <c r="B52" s="37" t="str">
        <f>IF('Attachment I (Small Carriers)'!B58="","",'Attachment I (Small Carriers)'!B58)</f>
        <v/>
      </c>
      <c r="C52" s="37" t="str">
        <f>IF('Attachment I (Small Carriers)'!C58="","",'Attachment I (Small Carriers)'!C58)</f>
        <v/>
      </c>
      <c r="D52" s="37" t="str">
        <f>IF('Attachment I (Small Carriers)'!D58="","",'Attachment I (Small Carriers)'!D58)</f>
        <v/>
      </c>
    </row>
    <row r="53" spans="1:4" x14ac:dyDescent="0.35">
      <c r="A53" s="37" t="str">
        <f>IF('Attachment I (Small Carriers)'!A59="","",'Attachment I (Small Carriers)'!A59)</f>
        <v/>
      </c>
      <c r="B53" s="37" t="str">
        <f>IF('Attachment I (Small Carriers)'!B59="","",'Attachment I (Small Carriers)'!B59)</f>
        <v/>
      </c>
      <c r="C53" s="37" t="str">
        <f>IF('Attachment I (Small Carriers)'!C59="","",'Attachment I (Small Carriers)'!C59)</f>
        <v/>
      </c>
      <c r="D53" s="37" t="str">
        <f>IF('Attachment I (Small Carriers)'!D59="","",'Attachment I (Small Carriers)'!D59)</f>
        <v/>
      </c>
    </row>
    <row r="54" spans="1:4" x14ac:dyDescent="0.35">
      <c r="A54" s="37" t="str">
        <f>IF('Attachment I (Small Carriers)'!A60="","",'Attachment I (Small Carriers)'!A60)</f>
        <v/>
      </c>
      <c r="B54" s="37" t="str">
        <f>IF('Attachment I (Small Carriers)'!B60="","",'Attachment I (Small Carriers)'!B60)</f>
        <v/>
      </c>
      <c r="C54" s="37" t="str">
        <f>IF('Attachment I (Small Carriers)'!C60="","",'Attachment I (Small Carriers)'!C60)</f>
        <v/>
      </c>
      <c r="D54" s="37" t="str">
        <f>IF('Attachment I (Small Carriers)'!D60="","",'Attachment I (Small Carriers)'!D60)</f>
        <v/>
      </c>
    </row>
    <row r="55" spans="1:4" x14ac:dyDescent="0.35">
      <c r="A55" s="37" t="str">
        <f>IF('Attachment I (Small Carriers)'!A61="","",'Attachment I (Small Carriers)'!A61)</f>
        <v/>
      </c>
      <c r="B55" s="37" t="str">
        <f>IF('Attachment I (Small Carriers)'!B61="","",'Attachment I (Small Carriers)'!B61)</f>
        <v/>
      </c>
      <c r="C55" s="37" t="str">
        <f>IF('Attachment I (Small Carriers)'!C61="","",'Attachment I (Small Carriers)'!C61)</f>
        <v/>
      </c>
      <c r="D55" s="37" t="str">
        <f>IF('Attachment I (Small Carriers)'!D61="","",'Attachment I (Small Carriers)'!D61)</f>
        <v/>
      </c>
    </row>
    <row r="56" spans="1:4" x14ac:dyDescent="0.35">
      <c r="A56" s="37" t="str">
        <f>IF('Attachment I (Small Carriers)'!A62="","",'Attachment I (Small Carriers)'!A62)</f>
        <v/>
      </c>
      <c r="B56" s="37" t="str">
        <f>IF('Attachment I (Small Carriers)'!B62="","",'Attachment I (Small Carriers)'!B62)</f>
        <v/>
      </c>
      <c r="C56" s="37" t="str">
        <f>IF('Attachment I (Small Carriers)'!C62="","",'Attachment I (Small Carriers)'!C62)</f>
        <v/>
      </c>
      <c r="D56" s="37" t="str">
        <f>IF('Attachment I (Small Carriers)'!D62="","",'Attachment I (Small Carriers)'!D62)</f>
        <v/>
      </c>
    </row>
    <row r="57" spans="1:4" x14ac:dyDescent="0.35">
      <c r="A57" s="37" t="str">
        <f>IF('Attachment I (Small Carriers)'!A63="","",'Attachment I (Small Carriers)'!A63)</f>
        <v/>
      </c>
      <c r="B57" s="37" t="str">
        <f>IF('Attachment I (Small Carriers)'!B63="","",'Attachment I (Small Carriers)'!B63)</f>
        <v/>
      </c>
      <c r="C57" s="37" t="str">
        <f>IF('Attachment I (Small Carriers)'!C63="","",'Attachment I (Small Carriers)'!C63)</f>
        <v/>
      </c>
      <c r="D57" s="37" t="str">
        <f>IF('Attachment I (Small Carriers)'!D63="","",'Attachment I (Small Carriers)'!D63)</f>
        <v/>
      </c>
    </row>
    <row r="58" spans="1:4" x14ac:dyDescent="0.35">
      <c r="A58" s="37" t="str">
        <f>IF('Attachment I (Small Carriers)'!A64="","",'Attachment I (Small Carriers)'!A64)</f>
        <v/>
      </c>
      <c r="B58" s="37" t="str">
        <f>IF('Attachment I (Small Carriers)'!B64="","",'Attachment I (Small Carriers)'!B64)</f>
        <v/>
      </c>
      <c r="C58" s="37" t="str">
        <f>IF('Attachment I (Small Carriers)'!C64="","",'Attachment I (Small Carriers)'!C64)</f>
        <v/>
      </c>
      <c r="D58" s="37" t="str">
        <f>IF('Attachment I (Small Carriers)'!D64="","",'Attachment I (Small Carriers)'!D64)</f>
        <v/>
      </c>
    </row>
    <row r="59" spans="1:4" x14ac:dyDescent="0.35">
      <c r="A59" s="37" t="str">
        <f>IF('Attachment I (Small Carriers)'!A65="","",'Attachment I (Small Carriers)'!A65)</f>
        <v/>
      </c>
      <c r="B59" s="37" t="str">
        <f>IF('Attachment I (Small Carriers)'!B65="","",'Attachment I (Small Carriers)'!B65)</f>
        <v/>
      </c>
      <c r="C59" s="37" t="str">
        <f>IF('Attachment I (Small Carriers)'!C65="","",'Attachment I (Small Carriers)'!C65)</f>
        <v/>
      </c>
      <c r="D59" s="37" t="str">
        <f>IF('Attachment I (Small Carriers)'!D65="","",'Attachment I (Small Carriers)'!D65)</f>
        <v/>
      </c>
    </row>
    <row r="60" spans="1:4" x14ac:dyDescent="0.35">
      <c r="A60" s="37" t="str">
        <f>IF('Attachment I (Small Carriers)'!A66="","",'Attachment I (Small Carriers)'!A66)</f>
        <v/>
      </c>
      <c r="B60" s="37" t="str">
        <f>IF('Attachment I (Small Carriers)'!B66="","",'Attachment I (Small Carriers)'!B66)</f>
        <v/>
      </c>
      <c r="C60" s="37" t="str">
        <f>IF('Attachment I (Small Carriers)'!C66="","",'Attachment I (Small Carriers)'!C66)</f>
        <v/>
      </c>
      <c r="D60" s="37" t="str">
        <f>IF('Attachment I (Small Carriers)'!D66="","",'Attachment I (Small Carriers)'!D66)</f>
        <v/>
      </c>
    </row>
    <row r="61" spans="1:4" x14ac:dyDescent="0.35">
      <c r="A61" s="37" t="str">
        <f>IF('Attachment I (Small Carriers)'!A67="","",'Attachment I (Small Carriers)'!A67)</f>
        <v/>
      </c>
      <c r="B61" s="37" t="str">
        <f>IF('Attachment I (Small Carriers)'!B67="","",'Attachment I (Small Carriers)'!B67)</f>
        <v/>
      </c>
      <c r="C61" s="37" t="str">
        <f>IF('Attachment I (Small Carriers)'!C67="","",'Attachment I (Small Carriers)'!C67)</f>
        <v/>
      </c>
      <c r="D61" s="37" t="str">
        <f>IF('Attachment I (Small Carriers)'!D67="","",'Attachment I (Small Carriers)'!D67)</f>
        <v/>
      </c>
    </row>
    <row r="62" spans="1:4" x14ac:dyDescent="0.35">
      <c r="A62" s="37" t="str">
        <f>IF('Attachment I (Small Carriers)'!A68="","",'Attachment I (Small Carriers)'!A68)</f>
        <v/>
      </c>
      <c r="B62" s="37" t="str">
        <f>IF('Attachment I (Small Carriers)'!B68="","",'Attachment I (Small Carriers)'!B68)</f>
        <v/>
      </c>
      <c r="C62" s="37" t="str">
        <f>IF('Attachment I (Small Carriers)'!C68="","",'Attachment I (Small Carriers)'!C68)</f>
        <v/>
      </c>
      <c r="D62" s="37" t="str">
        <f>IF('Attachment I (Small Carriers)'!D68="","",'Attachment I (Small Carriers)'!D68)</f>
        <v/>
      </c>
    </row>
    <row r="63" spans="1:4" x14ac:dyDescent="0.35">
      <c r="A63" s="37" t="str">
        <f>IF('Attachment I (Small Carriers)'!A69="","",'Attachment I (Small Carriers)'!A69)</f>
        <v/>
      </c>
      <c r="B63" s="37" t="str">
        <f>IF('Attachment I (Small Carriers)'!B69="","",'Attachment I (Small Carriers)'!B69)</f>
        <v/>
      </c>
      <c r="C63" s="37" t="str">
        <f>IF('Attachment I (Small Carriers)'!C69="","",'Attachment I (Small Carriers)'!C69)</f>
        <v/>
      </c>
      <c r="D63" s="37" t="str">
        <f>IF('Attachment I (Small Carriers)'!D69="","",'Attachment I (Small Carriers)'!D69)</f>
        <v/>
      </c>
    </row>
    <row r="64" spans="1:4" x14ac:dyDescent="0.35">
      <c r="A64" s="37" t="str">
        <f>IF('Attachment I (Small Carriers)'!A70="","",'Attachment I (Small Carriers)'!A70)</f>
        <v/>
      </c>
      <c r="B64" s="37" t="str">
        <f>IF('Attachment I (Small Carriers)'!B70="","",'Attachment I (Small Carriers)'!B70)</f>
        <v/>
      </c>
      <c r="C64" s="37" t="str">
        <f>IF('Attachment I (Small Carriers)'!C70="","",'Attachment I (Small Carriers)'!C70)</f>
        <v/>
      </c>
      <c r="D64" s="37" t="str">
        <f>IF('Attachment I (Small Carriers)'!D70="","",'Attachment I (Small Carriers)'!D70)</f>
        <v/>
      </c>
    </row>
    <row r="65" spans="1:4" x14ac:dyDescent="0.35">
      <c r="A65" s="37" t="str">
        <f>IF('Attachment I (Small Carriers)'!A71="","",'Attachment I (Small Carriers)'!A71)</f>
        <v/>
      </c>
      <c r="B65" s="37" t="str">
        <f>IF('Attachment I (Small Carriers)'!B71="","",'Attachment I (Small Carriers)'!B71)</f>
        <v/>
      </c>
      <c r="C65" s="37" t="str">
        <f>IF('Attachment I (Small Carriers)'!C71="","",'Attachment I (Small Carriers)'!C71)</f>
        <v/>
      </c>
      <c r="D65" s="37" t="str">
        <f>IF('Attachment I (Small Carriers)'!D71="","",'Attachment I (Small Carriers)'!D71)</f>
        <v/>
      </c>
    </row>
    <row r="66" spans="1:4" x14ac:dyDescent="0.35">
      <c r="A66" s="37" t="str">
        <f>IF('Attachment I (Small Carriers)'!A72="","",'Attachment I (Small Carriers)'!A72)</f>
        <v/>
      </c>
      <c r="B66" s="37" t="str">
        <f>IF('Attachment I (Small Carriers)'!B72="","",'Attachment I (Small Carriers)'!B72)</f>
        <v/>
      </c>
      <c r="C66" s="37" t="str">
        <f>IF('Attachment I (Small Carriers)'!C72="","",'Attachment I (Small Carriers)'!C72)</f>
        <v/>
      </c>
      <c r="D66" s="37" t="str">
        <f>IF('Attachment I (Small Carriers)'!D72="","",'Attachment I (Small Carriers)'!D72)</f>
        <v/>
      </c>
    </row>
    <row r="67" spans="1:4" x14ac:dyDescent="0.35">
      <c r="A67" s="37" t="str">
        <f>IF('Attachment I (Small Carriers)'!A73="","",'Attachment I (Small Carriers)'!A73)</f>
        <v/>
      </c>
      <c r="B67" s="37" t="str">
        <f>IF('Attachment I (Small Carriers)'!B73="","",'Attachment I (Small Carriers)'!B73)</f>
        <v/>
      </c>
      <c r="C67" s="37" t="str">
        <f>IF('Attachment I (Small Carriers)'!C73="","",'Attachment I (Small Carriers)'!C73)</f>
        <v/>
      </c>
      <c r="D67" s="37" t="str">
        <f>IF('Attachment I (Small Carriers)'!D73="","",'Attachment I (Small Carriers)'!D73)</f>
        <v/>
      </c>
    </row>
    <row r="68" spans="1:4" x14ac:dyDescent="0.35">
      <c r="A68" s="37" t="str">
        <f>IF('Attachment I (Small Carriers)'!A74="","",'Attachment I (Small Carriers)'!A74)</f>
        <v/>
      </c>
      <c r="B68" s="37" t="str">
        <f>IF('Attachment I (Small Carriers)'!B74="","",'Attachment I (Small Carriers)'!B74)</f>
        <v/>
      </c>
      <c r="C68" s="37" t="str">
        <f>IF('Attachment I (Small Carriers)'!C74="","",'Attachment I (Small Carriers)'!C74)</f>
        <v/>
      </c>
      <c r="D68" s="37" t="str">
        <f>IF('Attachment I (Small Carriers)'!D74="","",'Attachment I (Small Carriers)'!D74)</f>
        <v/>
      </c>
    </row>
    <row r="69" spans="1:4" x14ac:dyDescent="0.35">
      <c r="A69" s="37" t="str">
        <f>IF('Attachment I (Small Carriers)'!A75="","",'Attachment I (Small Carriers)'!A75)</f>
        <v/>
      </c>
      <c r="B69" s="37" t="str">
        <f>IF('Attachment I (Small Carriers)'!B75="","",'Attachment I (Small Carriers)'!B75)</f>
        <v/>
      </c>
      <c r="C69" s="37" t="str">
        <f>IF('Attachment I (Small Carriers)'!C75="","",'Attachment I (Small Carriers)'!C75)</f>
        <v/>
      </c>
      <c r="D69" s="37" t="str">
        <f>IF('Attachment I (Small Carriers)'!D75="","",'Attachment I (Small Carriers)'!D75)</f>
        <v/>
      </c>
    </row>
    <row r="70" spans="1:4" x14ac:dyDescent="0.35">
      <c r="A70" s="37" t="str">
        <f>IF('Attachment I (Small Carriers)'!A76="","",'Attachment I (Small Carriers)'!A76)</f>
        <v/>
      </c>
      <c r="B70" s="37" t="str">
        <f>IF('Attachment I (Small Carriers)'!B76="","",'Attachment I (Small Carriers)'!B76)</f>
        <v/>
      </c>
      <c r="C70" s="37" t="str">
        <f>IF('Attachment I (Small Carriers)'!C76="","",'Attachment I (Small Carriers)'!C76)</f>
        <v/>
      </c>
      <c r="D70" s="37" t="str">
        <f>IF('Attachment I (Small Carriers)'!D76="","",'Attachment I (Small Carriers)'!D76)</f>
        <v/>
      </c>
    </row>
    <row r="71" spans="1:4" x14ac:dyDescent="0.35">
      <c r="A71" s="37" t="str">
        <f>IF('Attachment I (Small Carriers)'!A77="","",'Attachment I (Small Carriers)'!A77)</f>
        <v/>
      </c>
      <c r="B71" s="37" t="str">
        <f>IF('Attachment I (Small Carriers)'!B77="","",'Attachment I (Small Carriers)'!B77)</f>
        <v/>
      </c>
      <c r="C71" s="37" t="str">
        <f>IF('Attachment I (Small Carriers)'!C77="","",'Attachment I (Small Carriers)'!C77)</f>
        <v/>
      </c>
      <c r="D71" s="37" t="str">
        <f>IF('Attachment I (Small Carriers)'!D77="","",'Attachment I (Small Carriers)'!D77)</f>
        <v/>
      </c>
    </row>
    <row r="72" spans="1:4" x14ac:dyDescent="0.35">
      <c r="A72" s="37" t="str">
        <f>IF('Attachment I (Small Carriers)'!A78="","",'Attachment I (Small Carriers)'!A78)</f>
        <v/>
      </c>
      <c r="B72" s="37" t="str">
        <f>IF('Attachment I (Small Carriers)'!B78="","",'Attachment I (Small Carriers)'!B78)</f>
        <v/>
      </c>
      <c r="C72" s="37" t="str">
        <f>IF('Attachment I (Small Carriers)'!C78="","",'Attachment I (Small Carriers)'!C78)</f>
        <v/>
      </c>
      <c r="D72" s="37" t="str">
        <f>IF('Attachment I (Small Carriers)'!D78="","",'Attachment I (Small Carriers)'!D78)</f>
        <v/>
      </c>
    </row>
    <row r="73" spans="1:4" x14ac:dyDescent="0.35">
      <c r="A73" s="37" t="str">
        <f>IF('Attachment I (Small Carriers)'!A79="","",'Attachment I (Small Carriers)'!A79)</f>
        <v/>
      </c>
      <c r="B73" s="37" t="str">
        <f>IF('Attachment I (Small Carriers)'!B79="","",'Attachment I (Small Carriers)'!B79)</f>
        <v/>
      </c>
      <c r="C73" s="37" t="str">
        <f>IF('Attachment I (Small Carriers)'!C79="","",'Attachment I (Small Carriers)'!C79)</f>
        <v/>
      </c>
      <c r="D73" s="37" t="str">
        <f>IF('Attachment I (Small Carriers)'!D79="","",'Attachment I (Small Carriers)'!D79)</f>
        <v/>
      </c>
    </row>
    <row r="74" spans="1:4" x14ac:dyDescent="0.35">
      <c r="A74" s="37" t="str">
        <f>IF('Attachment I (Small Carriers)'!A80="","",'Attachment I (Small Carriers)'!A80)</f>
        <v/>
      </c>
      <c r="B74" s="37" t="str">
        <f>IF('Attachment I (Small Carriers)'!B80="","",'Attachment I (Small Carriers)'!B80)</f>
        <v/>
      </c>
      <c r="C74" s="37" t="str">
        <f>IF('Attachment I (Small Carriers)'!C80="","",'Attachment I (Small Carriers)'!C80)</f>
        <v/>
      </c>
      <c r="D74" s="37" t="str">
        <f>IF('Attachment I (Small Carriers)'!D80="","",'Attachment I (Small Carriers)'!D80)</f>
        <v/>
      </c>
    </row>
    <row r="75" spans="1:4" x14ac:dyDescent="0.35">
      <c r="A75" s="37" t="str">
        <f>IF('Attachment I (Small Carriers)'!A81="","",'Attachment I (Small Carriers)'!A81)</f>
        <v/>
      </c>
      <c r="B75" s="37" t="str">
        <f>IF('Attachment I (Small Carriers)'!B81="","",'Attachment I (Small Carriers)'!B81)</f>
        <v/>
      </c>
      <c r="C75" s="37" t="str">
        <f>IF('Attachment I (Small Carriers)'!C81="","",'Attachment I (Small Carriers)'!C81)</f>
        <v/>
      </c>
      <c r="D75" s="37" t="str">
        <f>IF('Attachment I (Small Carriers)'!D81="","",'Attachment I (Small Carriers)'!D81)</f>
        <v/>
      </c>
    </row>
    <row r="76" spans="1:4" x14ac:dyDescent="0.35">
      <c r="A76" s="37" t="str">
        <f>IF('Attachment I (Small Carriers)'!A82="","",'Attachment I (Small Carriers)'!A82)</f>
        <v/>
      </c>
      <c r="B76" s="37" t="str">
        <f>IF('Attachment I (Small Carriers)'!B82="","",'Attachment I (Small Carriers)'!B82)</f>
        <v/>
      </c>
      <c r="C76" s="37" t="str">
        <f>IF('Attachment I (Small Carriers)'!C82="","",'Attachment I (Small Carriers)'!C82)</f>
        <v/>
      </c>
      <c r="D76" s="37" t="str">
        <f>IF('Attachment I (Small Carriers)'!D82="","",'Attachment I (Small Carriers)'!D82)</f>
        <v/>
      </c>
    </row>
    <row r="77" spans="1:4" x14ac:dyDescent="0.35">
      <c r="A77" s="37" t="str">
        <f>IF('Attachment I (Small Carriers)'!A83="","",'Attachment I (Small Carriers)'!A83)</f>
        <v/>
      </c>
      <c r="B77" s="37" t="str">
        <f>IF('Attachment I (Small Carriers)'!B83="","",'Attachment I (Small Carriers)'!B83)</f>
        <v/>
      </c>
      <c r="C77" s="37" t="str">
        <f>IF('Attachment I (Small Carriers)'!C83="","",'Attachment I (Small Carriers)'!C83)</f>
        <v/>
      </c>
      <c r="D77" s="37" t="str">
        <f>IF('Attachment I (Small Carriers)'!D83="","",'Attachment I (Small Carriers)'!D83)</f>
        <v/>
      </c>
    </row>
    <row r="78" spans="1:4" x14ac:dyDescent="0.35">
      <c r="A78" s="37" t="str">
        <f>IF('Attachment I (Small Carriers)'!A84="","",'Attachment I (Small Carriers)'!A84)</f>
        <v/>
      </c>
      <c r="B78" s="37" t="str">
        <f>IF('Attachment I (Small Carriers)'!B84="","",'Attachment I (Small Carriers)'!B84)</f>
        <v/>
      </c>
      <c r="C78" s="37" t="str">
        <f>IF('Attachment I (Small Carriers)'!C84="","",'Attachment I (Small Carriers)'!C84)</f>
        <v/>
      </c>
      <c r="D78" s="37" t="str">
        <f>IF('Attachment I (Small Carriers)'!D84="","",'Attachment I (Small Carriers)'!D84)</f>
        <v/>
      </c>
    </row>
    <row r="79" spans="1:4" x14ac:dyDescent="0.35">
      <c r="A79" s="37" t="str">
        <f>IF('Attachment I (Small Carriers)'!A85="","",'Attachment I (Small Carriers)'!A85)</f>
        <v/>
      </c>
      <c r="B79" s="37" t="str">
        <f>IF('Attachment I (Small Carriers)'!B85="","",'Attachment I (Small Carriers)'!B85)</f>
        <v/>
      </c>
      <c r="C79" s="37" t="str">
        <f>IF('Attachment I (Small Carriers)'!C85="","",'Attachment I (Small Carriers)'!C85)</f>
        <v/>
      </c>
      <c r="D79" s="37" t="str">
        <f>IF('Attachment I (Small Carriers)'!D85="","",'Attachment I (Small Carriers)'!D85)</f>
        <v/>
      </c>
    </row>
    <row r="80" spans="1:4" x14ac:dyDescent="0.35">
      <c r="A80" s="37" t="str">
        <f>IF('Attachment I (Small Carriers)'!A86="","",'Attachment I (Small Carriers)'!A86)</f>
        <v/>
      </c>
      <c r="B80" s="37" t="str">
        <f>IF('Attachment I (Small Carriers)'!B86="","",'Attachment I (Small Carriers)'!B86)</f>
        <v/>
      </c>
      <c r="C80" s="37" t="str">
        <f>IF('Attachment I (Small Carriers)'!C86="","",'Attachment I (Small Carriers)'!C86)</f>
        <v/>
      </c>
      <c r="D80" s="37" t="str">
        <f>IF('Attachment I (Small Carriers)'!D86="","",'Attachment I (Small Carriers)'!D86)</f>
        <v/>
      </c>
    </row>
    <row r="81" spans="1:4" x14ac:dyDescent="0.35">
      <c r="A81" s="37" t="str">
        <f>IF('Attachment I (Small Carriers)'!A87="","",'Attachment I (Small Carriers)'!A87)</f>
        <v/>
      </c>
      <c r="B81" s="37" t="str">
        <f>IF('Attachment I (Small Carriers)'!B87="","",'Attachment I (Small Carriers)'!B87)</f>
        <v/>
      </c>
      <c r="C81" s="37" t="str">
        <f>IF('Attachment I (Small Carriers)'!C87="","",'Attachment I (Small Carriers)'!C87)</f>
        <v/>
      </c>
      <c r="D81" s="37" t="str">
        <f>IF('Attachment I (Small Carriers)'!D87="","",'Attachment I (Small Carriers)'!D87)</f>
        <v/>
      </c>
    </row>
    <row r="82" spans="1:4" x14ac:dyDescent="0.35">
      <c r="A82" s="37" t="str">
        <f>IF('Attachment I (Small Carriers)'!A88="","",'Attachment I (Small Carriers)'!A88)</f>
        <v/>
      </c>
      <c r="B82" s="37" t="str">
        <f>IF('Attachment I (Small Carriers)'!B88="","",'Attachment I (Small Carriers)'!B88)</f>
        <v/>
      </c>
      <c r="C82" s="37" t="str">
        <f>IF('Attachment I (Small Carriers)'!C88="","",'Attachment I (Small Carriers)'!C88)</f>
        <v/>
      </c>
      <c r="D82" s="37" t="str">
        <f>IF('Attachment I (Small Carriers)'!D88="","",'Attachment I (Small Carriers)'!D88)</f>
        <v/>
      </c>
    </row>
    <row r="83" spans="1:4" x14ac:dyDescent="0.35">
      <c r="A83" s="37" t="str">
        <f>IF('Attachment I (Small Carriers)'!A89="","",'Attachment I (Small Carriers)'!A89)</f>
        <v/>
      </c>
      <c r="B83" s="37" t="str">
        <f>IF('Attachment I (Small Carriers)'!B89="","",'Attachment I (Small Carriers)'!B89)</f>
        <v/>
      </c>
      <c r="C83" s="37" t="str">
        <f>IF('Attachment I (Small Carriers)'!C89="","",'Attachment I (Small Carriers)'!C89)</f>
        <v/>
      </c>
      <c r="D83" s="37" t="str">
        <f>IF('Attachment I (Small Carriers)'!D89="","",'Attachment I (Small Carriers)'!D89)</f>
        <v/>
      </c>
    </row>
    <row r="84" spans="1:4" x14ac:dyDescent="0.35">
      <c r="A84" s="37" t="str">
        <f>IF('Attachment I (Small Carriers)'!A90="","",'Attachment I (Small Carriers)'!A90)</f>
        <v/>
      </c>
      <c r="B84" s="37" t="str">
        <f>IF('Attachment I (Small Carriers)'!B90="","",'Attachment I (Small Carriers)'!B90)</f>
        <v/>
      </c>
      <c r="C84" s="37" t="str">
        <f>IF('Attachment I (Small Carriers)'!C90="","",'Attachment I (Small Carriers)'!C90)</f>
        <v/>
      </c>
      <c r="D84" s="37" t="str">
        <f>IF('Attachment I (Small Carriers)'!D90="","",'Attachment I (Small Carriers)'!D90)</f>
        <v/>
      </c>
    </row>
    <row r="85" spans="1:4" x14ac:dyDescent="0.35">
      <c r="A85" s="37" t="str">
        <f>IF('Attachment I (Small Carriers)'!A91="","",'Attachment I (Small Carriers)'!A91)</f>
        <v/>
      </c>
      <c r="B85" s="37" t="str">
        <f>IF('Attachment I (Small Carriers)'!B91="","",'Attachment I (Small Carriers)'!B91)</f>
        <v/>
      </c>
      <c r="C85" s="37" t="str">
        <f>IF('Attachment I (Small Carriers)'!C91="","",'Attachment I (Small Carriers)'!C91)</f>
        <v/>
      </c>
      <c r="D85" s="37" t="str">
        <f>IF('Attachment I (Small Carriers)'!D91="","",'Attachment I (Small Carriers)'!D91)</f>
        <v/>
      </c>
    </row>
    <row r="86" spans="1:4" x14ac:dyDescent="0.35">
      <c r="A86" s="37" t="str">
        <f>IF('Attachment I (Small Carriers)'!A92="","",'Attachment I (Small Carriers)'!A92)</f>
        <v/>
      </c>
      <c r="B86" s="37" t="str">
        <f>IF('Attachment I (Small Carriers)'!B92="","",'Attachment I (Small Carriers)'!B92)</f>
        <v/>
      </c>
      <c r="C86" s="37" t="str">
        <f>IF('Attachment I (Small Carriers)'!C92="","",'Attachment I (Small Carriers)'!C92)</f>
        <v/>
      </c>
      <c r="D86" s="37" t="str">
        <f>IF('Attachment I (Small Carriers)'!D92="","",'Attachment I (Small Carriers)'!D92)</f>
        <v/>
      </c>
    </row>
    <row r="87" spans="1:4" x14ac:dyDescent="0.35">
      <c r="A87" s="37" t="str">
        <f>IF('Attachment I (Small Carriers)'!A93="","",'Attachment I (Small Carriers)'!A93)</f>
        <v/>
      </c>
      <c r="B87" s="37" t="str">
        <f>IF('Attachment I (Small Carriers)'!B93="","",'Attachment I (Small Carriers)'!B93)</f>
        <v/>
      </c>
      <c r="C87" s="37" t="str">
        <f>IF('Attachment I (Small Carriers)'!C93="","",'Attachment I (Small Carriers)'!C93)</f>
        <v/>
      </c>
      <c r="D87" s="37" t="str">
        <f>IF('Attachment I (Small Carriers)'!D93="","",'Attachment I (Small Carriers)'!D93)</f>
        <v/>
      </c>
    </row>
    <row r="88" spans="1:4" x14ac:dyDescent="0.35">
      <c r="A88" s="37" t="str">
        <f>IF('Attachment I (Small Carriers)'!A94="","",'Attachment I (Small Carriers)'!A94)</f>
        <v/>
      </c>
      <c r="B88" s="37" t="str">
        <f>IF('Attachment I (Small Carriers)'!B94="","",'Attachment I (Small Carriers)'!B94)</f>
        <v/>
      </c>
      <c r="C88" s="37" t="str">
        <f>IF('Attachment I (Small Carriers)'!C94="","",'Attachment I (Small Carriers)'!C94)</f>
        <v/>
      </c>
      <c r="D88" s="37" t="str">
        <f>IF('Attachment I (Small Carriers)'!D94="","",'Attachment I (Small Carriers)'!D94)</f>
        <v/>
      </c>
    </row>
    <row r="89" spans="1:4" x14ac:dyDescent="0.35">
      <c r="A89" s="37" t="str">
        <f>IF('Attachment I (Small Carriers)'!A95="","",'Attachment I (Small Carriers)'!A95)</f>
        <v/>
      </c>
      <c r="B89" s="37" t="str">
        <f>IF('Attachment I (Small Carriers)'!B95="","",'Attachment I (Small Carriers)'!B95)</f>
        <v/>
      </c>
      <c r="C89" s="37" t="str">
        <f>IF('Attachment I (Small Carriers)'!C95="","",'Attachment I (Small Carriers)'!C95)</f>
        <v/>
      </c>
      <c r="D89" s="37" t="str">
        <f>IF('Attachment I (Small Carriers)'!D95="","",'Attachment I (Small Carriers)'!D95)</f>
        <v/>
      </c>
    </row>
    <row r="90" spans="1:4" x14ac:dyDescent="0.35">
      <c r="A90" s="37" t="str">
        <f>IF('Attachment I (Small Carriers)'!A96="","",'Attachment I (Small Carriers)'!A96)</f>
        <v/>
      </c>
      <c r="B90" s="37" t="str">
        <f>IF('Attachment I (Small Carriers)'!B96="","",'Attachment I (Small Carriers)'!B96)</f>
        <v/>
      </c>
      <c r="C90" s="37" t="str">
        <f>IF('Attachment I (Small Carriers)'!C96="","",'Attachment I (Small Carriers)'!C96)</f>
        <v/>
      </c>
      <c r="D90" s="37" t="str">
        <f>IF('Attachment I (Small Carriers)'!D96="","",'Attachment I (Small Carriers)'!D96)</f>
        <v/>
      </c>
    </row>
    <row r="91" spans="1:4" x14ac:dyDescent="0.35">
      <c r="A91" s="37" t="str">
        <f>IF('Attachment I (Small Carriers)'!A97="","",'Attachment I (Small Carriers)'!A97)</f>
        <v/>
      </c>
      <c r="B91" s="37" t="str">
        <f>IF('Attachment I (Small Carriers)'!B97="","",'Attachment I (Small Carriers)'!B97)</f>
        <v/>
      </c>
      <c r="C91" s="37" t="str">
        <f>IF('Attachment I (Small Carriers)'!C97="","",'Attachment I (Small Carriers)'!C97)</f>
        <v/>
      </c>
      <c r="D91" s="37" t="str">
        <f>IF('Attachment I (Small Carriers)'!D97="","",'Attachment I (Small Carriers)'!D97)</f>
        <v/>
      </c>
    </row>
    <row r="92" spans="1:4" x14ac:dyDescent="0.35">
      <c r="A92" s="37" t="str">
        <f>IF('Attachment I (Small Carriers)'!A98="","",'Attachment I (Small Carriers)'!A98)</f>
        <v/>
      </c>
      <c r="B92" s="37" t="str">
        <f>IF('Attachment I (Small Carriers)'!B98="","",'Attachment I (Small Carriers)'!B98)</f>
        <v/>
      </c>
      <c r="C92" s="37" t="str">
        <f>IF('Attachment I (Small Carriers)'!C98="","",'Attachment I (Small Carriers)'!C98)</f>
        <v/>
      </c>
      <c r="D92" s="37" t="str">
        <f>IF('Attachment I (Small Carriers)'!D98="","",'Attachment I (Small Carriers)'!D98)</f>
        <v/>
      </c>
    </row>
    <row r="93" spans="1:4" x14ac:dyDescent="0.35">
      <c r="A93" s="37" t="str">
        <f>IF('Attachment I (Small Carriers)'!A99="","",'Attachment I (Small Carriers)'!A99)</f>
        <v/>
      </c>
      <c r="B93" s="37" t="str">
        <f>IF('Attachment I (Small Carriers)'!B99="","",'Attachment I (Small Carriers)'!B99)</f>
        <v/>
      </c>
      <c r="C93" s="37" t="str">
        <f>IF('Attachment I (Small Carriers)'!C99="","",'Attachment I (Small Carriers)'!C99)</f>
        <v/>
      </c>
      <c r="D93" s="37" t="str">
        <f>IF('Attachment I (Small Carriers)'!D99="","",'Attachment I (Small Carriers)'!D99)</f>
        <v/>
      </c>
    </row>
    <row r="94" spans="1:4" x14ac:dyDescent="0.35">
      <c r="A94" s="37" t="str">
        <f>IF('Attachment I (Small Carriers)'!A100="","",'Attachment I (Small Carriers)'!A100)</f>
        <v/>
      </c>
      <c r="B94" s="37" t="str">
        <f>IF('Attachment I (Small Carriers)'!B100="","",'Attachment I (Small Carriers)'!B100)</f>
        <v/>
      </c>
      <c r="C94" s="37" t="str">
        <f>IF('Attachment I (Small Carriers)'!C100="","",'Attachment I (Small Carriers)'!C100)</f>
        <v/>
      </c>
      <c r="D94" s="37" t="str">
        <f>IF('Attachment I (Small Carriers)'!D100="","",'Attachment I (Small Carriers)'!D100)</f>
        <v/>
      </c>
    </row>
    <row r="95" spans="1:4" x14ac:dyDescent="0.35">
      <c r="A95" s="37" t="str">
        <f>IF('Attachment I (Small Carriers)'!A101="","",'Attachment I (Small Carriers)'!A101)</f>
        <v/>
      </c>
      <c r="B95" s="37" t="str">
        <f>IF('Attachment I (Small Carriers)'!B101="","",'Attachment I (Small Carriers)'!B101)</f>
        <v/>
      </c>
      <c r="C95" s="37" t="str">
        <f>IF('Attachment I (Small Carriers)'!C101="","",'Attachment I (Small Carriers)'!C101)</f>
        <v/>
      </c>
      <c r="D95" s="37" t="str">
        <f>IF('Attachment I (Small Carriers)'!D101="","",'Attachment I (Small Carriers)'!D101)</f>
        <v/>
      </c>
    </row>
    <row r="96" spans="1:4" x14ac:dyDescent="0.35">
      <c r="A96" s="37" t="str">
        <f>IF('Attachment I (Small Carriers)'!A102="","",'Attachment I (Small Carriers)'!A102)</f>
        <v/>
      </c>
      <c r="B96" s="37" t="str">
        <f>IF('Attachment I (Small Carriers)'!B102="","",'Attachment I (Small Carriers)'!B102)</f>
        <v/>
      </c>
      <c r="C96" s="37" t="str">
        <f>IF('Attachment I (Small Carriers)'!C102="","",'Attachment I (Small Carriers)'!C102)</f>
        <v/>
      </c>
      <c r="D96" s="37" t="str">
        <f>IF('Attachment I (Small Carriers)'!D102="","",'Attachment I (Small Carriers)'!D102)</f>
        <v/>
      </c>
    </row>
    <row r="97" spans="1:4" x14ac:dyDescent="0.35">
      <c r="A97" s="37" t="str">
        <f>IF('Attachment I (Small Carriers)'!A103="","",'Attachment I (Small Carriers)'!A103)</f>
        <v/>
      </c>
      <c r="B97" s="37" t="str">
        <f>IF('Attachment I (Small Carriers)'!B103="","",'Attachment I (Small Carriers)'!B103)</f>
        <v/>
      </c>
      <c r="C97" s="37" t="str">
        <f>IF('Attachment I (Small Carriers)'!C103="","",'Attachment I (Small Carriers)'!C103)</f>
        <v/>
      </c>
      <c r="D97" s="37" t="str">
        <f>IF('Attachment I (Small Carriers)'!D103="","",'Attachment I (Small Carriers)'!D103)</f>
        <v/>
      </c>
    </row>
    <row r="98" spans="1:4" x14ac:dyDescent="0.35">
      <c r="A98" s="37" t="str">
        <f>IF('Attachment I (Small Carriers)'!A104="","",'Attachment I (Small Carriers)'!A104)</f>
        <v/>
      </c>
      <c r="B98" s="37" t="str">
        <f>IF('Attachment I (Small Carriers)'!B104="","",'Attachment I (Small Carriers)'!B104)</f>
        <v/>
      </c>
      <c r="C98" s="37" t="str">
        <f>IF('Attachment I (Small Carriers)'!C104="","",'Attachment I (Small Carriers)'!C104)</f>
        <v/>
      </c>
      <c r="D98" s="37" t="str">
        <f>IF('Attachment I (Small Carriers)'!D104="","",'Attachment I (Small Carriers)'!D104)</f>
        <v/>
      </c>
    </row>
    <row r="99" spans="1:4" x14ac:dyDescent="0.35">
      <c r="A99" s="37" t="str">
        <f>IF('Attachment I (Small Carriers)'!A105="","",'Attachment I (Small Carriers)'!A105)</f>
        <v/>
      </c>
      <c r="B99" s="37" t="str">
        <f>IF('Attachment I (Small Carriers)'!B105="","",'Attachment I (Small Carriers)'!B105)</f>
        <v/>
      </c>
      <c r="C99" s="37" t="str">
        <f>IF('Attachment I (Small Carriers)'!C105="","",'Attachment I (Small Carriers)'!C105)</f>
        <v/>
      </c>
      <c r="D99" s="37" t="str">
        <f>IF('Attachment I (Small Carriers)'!D105="","",'Attachment I (Small Carriers)'!D105)</f>
        <v/>
      </c>
    </row>
    <row r="100" spans="1:4" x14ac:dyDescent="0.35">
      <c r="A100" s="37" t="str">
        <f>IF('Attachment I (Small Carriers)'!A106="","",'Attachment I (Small Carriers)'!A106)</f>
        <v/>
      </c>
      <c r="B100" s="37" t="str">
        <f>IF('Attachment I (Small Carriers)'!B106="","",'Attachment I (Small Carriers)'!B106)</f>
        <v/>
      </c>
      <c r="C100" s="37" t="str">
        <f>IF('Attachment I (Small Carriers)'!C106="","",'Attachment I (Small Carriers)'!C106)</f>
        <v/>
      </c>
      <c r="D100" s="37" t="str">
        <f>IF('Attachment I (Small Carriers)'!D106="","",'Attachment I (Small Carriers)'!D106)</f>
        <v/>
      </c>
    </row>
    <row r="101" spans="1:4" x14ac:dyDescent="0.35">
      <c r="A101" s="37" t="str">
        <f>IF('Attachment I (Small Carriers)'!A107="","",'Attachment I (Small Carriers)'!A107)</f>
        <v/>
      </c>
      <c r="B101" s="37" t="str">
        <f>IF('Attachment I (Small Carriers)'!B107="","",'Attachment I (Small Carriers)'!B107)</f>
        <v/>
      </c>
      <c r="C101" s="37" t="str">
        <f>IF('Attachment I (Small Carriers)'!C107="","",'Attachment I (Small Carriers)'!C107)</f>
        <v/>
      </c>
      <c r="D101" s="37" t="str">
        <f>IF('Attachment I (Small Carriers)'!D107="","",'Attachment I (Small Carriers)'!D107)</f>
        <v/>
      </c>
    </row>
    <row r="102" spans="1:4" x14ac:dyDescent="0.35">
      <c r="A102" s="37" t="str">
        <f>IF('Attachment I (Small Carriers)'!A108="","",'Attachment I (Small Carriers)'!A108)</f>
        <v/>
      </c>
      <c r="B102" s="37" t="str">
        <f>IF('Attachment I (Small Carriers)'!B108="","",'Attachment I (Small Carriers)'!B108)</f>
        <v/>
      </c>
      <c r="C102" s="37" t="str">
        <f>IF('Attachment I (Small Carriers)'!C108="","",'Attachment I (Small Carriers)'!C108)</f>
        <v/>
      </c>
      <c r="D102" s="37" t="str">
        <f>IF('Attachment I (Small Carriers)'!D108="","",'Attachment I (Small Carriers)'!D108)</f>
        <v/>
      </c>
    </row>
    <row r="103" spans="1:4" x14ac:dyDescent="0.35">
      <c r="A103" s="37" t="str">
        <f>IF('Attachment I (Small Carriers)'!A109="","",'Attachment I (Small Carriers)'!A109)</f>
        <v/>
      </c>
      <c r="B103" s="37" t="str">
        <f>IF('Attachment I (Small Carriers)'!B109="","",'Attachment I (Small Carriers)'!B109)</f>
        <v/>
      </c>
      <c r="C103" s="37" t="str">
        <f>IF('Attachment I (Small Carriers)'!C109="","",'Attachment I (Small Carriers)'!C109)</f>
        <v/>
      </c>
      <c r="D103" s="37" t="str">
        <f>IF('Attachment I (Small Carriers)'!D109="","",'Attachment I (Small Carriers)'!D109)</f>
        <v/>
      </c>
    </row>
    <row r="104" spans="1:4" x14ac:dyDescent="0.35">
      <c r="A104" s="37" t="str">
        <f>IF('Attachment I (Small Carriers)'!A110="","",'Attachment I (Small Carriers)'!A110)</f>
        <v/>
      </c>
      <c r="B104" s="37" t="str">
        <f>IF('Attachment I (Small Carriers)'!B110="","",'Attachment I (Small Carriers)'!B110)</f>
        <v/>
      </c>
      <c r="C104" s="37" t="str">
        <f>IF('Attachment I (Small Carriers)'!C110="","",'Attachment I (Small Carriers)'!C110)</f>
        <v/>
      </c>
      <c r="D104" s="37" t="str">
        <f>IF('Attachment I (Small Carriers)'!D110="","",'Attachment I (Small Carriers)'!D110)</f>
        <v/>
      </c>
    </row>
    <row r="105" spans="1:4" x14ac:dyDescent="0.35">
      <c r="A105" s="37" t="str">
        <f>IF('Attachment I (Small Carriers)'!A111="","",'Attachment I (Small Carriers)'!A111)</f>
        <v/>
      </c>
      <c r="B105" s="37" t="str">
        <f>IF('Attachment I (Small Carriers)'!B111="","",'Attachment I (Small Carriers)'!B111)</f>
        <v/>
      </c>
      <c r="C105" s="37" t="str">
        <f>IF('Attachment I (Small Carriers)'!C111="","",'Attachment I (Small Carriers)'!C111)</f>
        <v/>
      </c>
      <c r="D105" s="37" t="str">
        <f>IF('Attachment I (Small Carriers)'!D111="","",'Attachment I (Small Carriers)'!D111)</f>
        <v/>
      </c>
    </row>
    <row r="106" spans="1:4" x14ac:dyDescent="0.35">
      <c r="A106" s="37" t="str">
        <f>IF('Attachment I (Small Carriers)'!A112="","",'Attachment I (Small Carriers)'!A112)</f>
        <v/>
      </c>
      <c r="B106" s="37" t="str">
        <f>IF('Attachment I (Small Carriers)'!B112="","",'Attachment I (Small Carriers)'!B112)</f>
        <v/>
      </c>
      <c r="C106" s="37" t="str">
        <f>IF('Attachment I (Small Carriers)'!C112="","",'Attachment I (Small Carriers)'!C112)</f>
        <v/>
      </c>
      <c r="D106" s="37" t="str">
        <f>IF('Attachment I (Small Carriers)'!D112="","",'Attachment I (Small Carriers)'!D112)</f>
        <v/>
      </c>
    </row>
    <row r="107" spans="1:4" x14ac:dyDescent="0.35">
      <c r="A107" s="37" t="str">
        <f>IF('Attachment I (Small Carriers)'!A113="","",'Attachment I (Small Carriers)'!A113)</f>
        <v/>
      </c>
      <c r="B107" s="37" t="str">
        <f>IF('Attachment I (Small Carriers)'!B113="","",'Attachment I (Small Carriers)'!B113)</f>
        <v/>
      </c>
      <c r="C107" s="37" t="str">
        <f>IF('Attachment I (Small Carriers)'!C113="","",'Attachment I (Small Carriers)'!C113)</f>
        <v/>
      </c>
      <c r="D107" s="37" t="str">
        <f>IF('Attachment I (Small Carriers)'!D113="","",'Attachment I (Small Carriers)'!D113)</f>
        <v/>
      </c>
    </row>
    <row r="108" spans="1:4" x14ac:dyDescent="0.35">
      <c r="A108" s="37" t="str">
        <f>IF('Attachment I (Small Carriers)'!A114="","",'Attachment I (Small Carriers)'!A114)</f>
        <v/>
      </c>
      <c r="B108" s="37" t="str">
        <f>IF('Attachment I (Small Carriers)'!B114="","",'Attachment I (Small Carriers)'!B114)</f>
        <v/>
      </c>
      <c r="C108" s="37" t="str">
        <f>IF('Attachment I (Small Carriers)'!C114="","",'Attachment I (Small Carriers)'!C114)</f>
        <v/>
      </c>
      <c r="D108" s="37" t="str">
        <f>IF('Attachment I (Small Carriers)'!D114="","",'Attachment I (Small Carriers)'!D114)</f>
        <v/>
      </c>
    </row>
    <row r="109" spans="1:4" x14ac:dyDescent="0.35">
      <c r="A109" s="37" t="str">
        <f>IF('Attachment I (Small Carriers)'!A115="","",'Attachment I (Small Carriers)'!A115)</f>
        <v/>
      </c>
      <c r="B109" s="37" t="str">
        <f>IF('Attachment I (Small Carriers)'!B115="","",'Attachment I (Small Carriers)'!B115)</f>
        <v/>
      </c>
      <c r="C109" s="37" t="str">
        <f>IF('Attachment I (Small Carriers)'!C115="","",'Attachment I (Small Carriers)'!C115)</f>
        <v/>
      </c>
      <c r="D109" s="37" t="str">
        <f>IF('Attachment I (Small Carriers)'!D115="","",'Attachment I (Small Carriers)'!D115)</f>
        <v/>
      </c>
    </row>
    <row r="110" spans="1:4" x14ac:dyDescent="0.35">
      <c r="A110" s="37" t="str">
        <f>IF('Attachment I (Small Carriers)'!A116="","",'Attachment I (Small Carriers)'!A116)</f>
        <v/>
      </c>
      <c r="B110" s="37" t="str">
        <f>IF('Attachment I (Small Carriers)'!B116="","",'Attachment I (Small Carriers)'!B116)</f>
        <v/>
      </c>
      <c r="C110" s="37" t="str">
        <f>IF('Attachment I (Small Carriers)'!C116="","",'Attachment I (Small Carriers)'!C116)</f>
        <v/>
      </c>
      <c r="D110" s="37" t="str">
        <f>IF('Attachment I (Small Carriers)'!D116="","",'Attachment I (Small Carriers)'!D116)</f>
        <v/>
      </c>
    </row>
    <row r="111" spans="1:4" x14ac:dyDescent="0.35">
      <c r="A111" s="37" t="str">
        <f>IF('Attachment I (Small Carriers)'!A117="","",'Attachment I (Small Carriers)'!A117)</f>
        <v/>
      </c>
      <c r="B111" s="37" t="str">
        <f>IF('Attachment I (Small Carriers)'!B117="","",'Attachment I (Small Carriers)'!B117)</f>
        <v/>
      </c>
      <c r="C111" s="37" t="str">
        <f>IF('Attachment I (Small Carriers)'!C117="","",'Attachment I (Small Carriers)'!C117)</f>
        <v/>
      </c>
      <c r="D111" s="37" t="str">
        <f>IF('Attachment I (Small Carriers)'!D117="","",'Attachment I (Small Carriers)'!D117)</f>
        <v/>
      </c>
    </row>
    <row r="112" spans="1:4" x14ac:dyDescent="0.35">
      <c r="A112" s="37" t="str">
        <f>IF('Attachment I (Small Carriers)'!A118="","",'Attachment I (Small Carriers)'!A118)</f>
        <v/>
      </c>
      <c r="B112" s="37" t="str">
        <f>IF('Attachment I (Small Carriers)'!B118="","",'Attachment I (Small Carriers)'!B118)</f>
        <v/>
      </c>
      <c r="C112" s="37" t="str">
        <f>IF('Attachment I (Small Carriers)'!C118="","",'Attachment I (Small Carriers)'!C118)</f>
        <v/>
      </c>
      <c r="D112" s="37" t="str">
        <f>IF('Attachment I (Small Carriers)'!D118="","",'Attachment I (Small Carriers)'!D118)</f>
        <v/>
      </c>
    </row>
    <row r="113" spans="1:4" x14ac:dyDescent="0.35">
      <c r="A113" s="37" t="str">
        <f>IF('Attachment I (Small Carriers)'!A119="","",'Attachment I (Small Carriers)'!A119)</f>
        <v/>
      </c>
      <c r="B113" s="37" t="str">
        <f>IF('Attachment I (Small Carriers)'!B119="","",'Attachment I (Small Carriers)'!B119)</f>
        <v/>
      </c>
      <c r="C113" s="37" t="str">
        <f>IF('Attachment I (Small Carriers)'!C119="","",'Attachment I (Small Carriers)'!C119)</f>
        <v/>
      </c>
      <c r="D113" s="37" t="str">
        <f>IF('Attachment I (Small Carriers)'!D119="","",'Attachment I (Small Carriers)'!D119)</f>
        <v/>
      </c>
    </row>
    <row r="114" spans="1:4" x14ac:dyDescent="0.35">
      <c r="A114" s="37" t="str">
        <f>IF('Attachment I (Small Carriers)'!A120="","",'Attachment I (Small Carriers)'!A120)</f>
        <v/>
      </c>
      <c r="B114" s="37" t="str">
        <f>IF('Attachment I (Small Carriers)'!B120="","",'Attachment I (Small Carriers)'!B120)</f>
        <v/>
      </c>
      <c r="C114" s="37" t="str">
        <f>IF('Attachment I (Small Carriers)'!C120="","",'Attachment I (Small Carriers)'!C120)</f>
        <v/>
      </c>
      <c r="D114" s="37" t="str">
        <f>IF('Attachment I (Small Carriers)'!D120="","",'Attachment I (Small Carriers)'!D120)</f>
        <v/>
      </c>
    </row>
    <row r="115" spans="1:4" x14ac:dyDescent="0.35">
      <c r="A115" s="37" t="str">
        <f>IF('Attachment I (Small Carriers)'!A121="","",'Attachment I (Small Carriers)'!A121)</f>
        <v/>
      </c>
      <c r="B115" s="37" t="str">
        <f>IF('Attachment I (Small Carriers)'!B121="","",'Attachment I (Small Carriers)'!B121)</f>
        <v/>
      </c>
      <c r="C115" s="37" t="str">
        <f>IF('Attachment I (Small Carriers)'!C121="","",'Attachment I (Small Carriers)'!C121)</f>
        <v/>
      </c>
      <c r="D115" s="37" t="str">
        <f>IF('Attachment I (Small Carriers)'!D121="","",'Attachment I (Small Carriers)'!D121)</f>
        <v/>
      </c>
    </row>
    <row r="116" spans="1:4" x14ac:dyDescent="0.35">
      <c r="A116" s="37" t="str">
        <f>IF('Attachment I (Small Carriers)'!A122="","",'Attachment I (Small Carriers)'!A122)</f>
        <v/>
      </c>
      <c r="B116" s="37" t="str">
        <f>IF('Attachment I (Small Carriers)'!B122="","",'Attachment I (Small Carriers)'!B122)</f>
        <v/>
      </c>
      <c r="C116" s="37" t="str">
        <f>IF('Attachment I (Small Carriers)'!C122="","",'Attachment I (Small Carriers)'!C122)</f>
        <v/>
      </c>
      <c r="D116" s="37" t="str">
        <f>IF('Attachment I (Small Carriers)'!D122="","",'Attachment I (Small Carriers)'!D122)</f>
        <v/>
      </c>
    </row>
    <row r="117" spans="1:4" x14ac:dyDescent="0.35">
      <c r="A117" s="37" t="str">
        <f>IF('Attachment I (Small Carriers)'!A123="","",'Attachment I (Small Carriers)'!A123)</f>
        <v/>
      </c>
      <c r="B117" s="37" t="str">
        <f>IF('Attachment I (Small Carriers)'!B123="","",'Attachment I (Small Carriers)'!B123)</f>
        <v/>
      </c>
      <c r="C117" s="37" t="str">
        <f>IF('Attachment I (Small Carriers)'!C123="","",'Attachment I (Small Carriers)'!C123)</f>
        <v/>
      </c>
      <c r="D117" s="37" t="str">
        <f>IF('Attachment I (Small Carriers)'!D123="","",'Attachment I (Small Carriers)'!D123)</f>
        <v/>
      </c>
    </row>
    <row r="118" spans="1:4" x14ac:dyDescent="0.35">
      <c r="A118" s="37" t="str">
        <f>IF('Attachment I (Small Carriers)'!A124="","",'Attachment I (Small Carriers)'!A124)</f>
        <v/>
      </c>
      <c r="B118" s="37" t="str">
        <f>IF('Attachment I (Small Carriers)'!B124="","",'Attachment I (Small Carriers)'!B124)</f>
        <v/>
      </c>
      <c r="C118" s="37" t="str">
        <f>IF('Attachment I (Small Carriers)'!C124="","",'Attachment I (Small Carriers)'!C124)</f>
        <v/>
      </c>
      <c r="D118" s="37" t="str">
        <f>IF('Attachment I (Small Carriers)'!D124="","",'Attachment I (Small Carriers)'!D124)</f>
        <v/>
      </c>
    </row>
    <row r="119" spans="1:4" x14ac:dyDescent="0.35">
      <c r="A119" s="37" t="str">
        <f>IF('Attachment I (Small Carriers)'!A125="","",'Attachment I (Small Carriers)'!A125)</f>
        <v/>
      </c>
      <c r="B119" s="37" t="str">
        <f>IF('Attachment I (Small Carriers)'!B125="","",'Attachment I (Small Carriers)'!B125)</f>
        <v/>
      </c>
      <c r="C119" s="37" t="str">
        <f>IF('Attachment I (Small Carriers)'!C125="","",'Attachment I (Small Carriers)'!C125)</f>
        <v/>
      </c>
      <c r="D119" s="37" t="str">
        <f>IF('Attachment I (Small Carriers)'!D125="","",'Attachment I (Small Carriers)'!D125)</f>
        <v/>
      </c>
    </row>
    <row r="120" spans="1:4" x14ac:dyDescent="0.35">
      <c r="A120" s="37" t="str">
        <f>IF('Attachment I (Small Carriers)'!A126="","",'Attachment I (Small Carriers)'!A126)</f>
        <v/>
      </c>
      <c r="B120" s="37" t="str">
        <f>IF('Attachment I (Small Carriers)'!B126="","",'Attachment I (Small Carriers)'!B126)</f>
        <v/>
      </c>
      <c r="C120" s="37" t="str">
        <f>IF('Attachment I (Small Carriers)'!C126="","",'Attachment I (Small Carriers)'!C126)</f>
        <v/>
      </c>
      <c r="D120" s="37" t="str">
        <f>IF('Attachment I (Small Carriers)'!D126="","",'Attachment I (Small Carriers)'!D126)</f>
        <v/>
      </c>
    </row>
    <row r="121" spans="1:4" x14ac:dyDescent="0.35">
      <c r="A121" s="37" t="str">
        <f>IF('Attachment I (Small Carriers)'!A127="","",'Attachment I (Small Carriers)'!A127)</f>
        <v/>
      </c>
      <c r="B121" s="37" t="str">
        <f>IF('Attachment I (Small Carriers)'!B127="","",'Attachment I (Small Carriers)'!B127)</f>
        <v/>
      </c>
      <c r="C121" s="37" t="str">
        <f>IF('Attachment I (Small Carriers)'!C127="","",'Attachment I (Small Carriers)'!C127)</f>
        <v/>
      </c>
      <c r="D121" s="37" t="str">
        <f>IF('Attachment I (Small Carriers)'!D127="","",'Attachment I (Small Carriers)'!D127)</f>
        <v/>
      </c>
    </row>
    <row r="122" spans="1:4" x14ac:dyDescent="0.35">
      <c r="A122" s="37" t="str">
        <f>IF('Attachment I (Small Carriers)'!A128="","",'Attachment I (Small Carriers)'!A128)</f>
        <v/>
      </c>
      <c r="B122" s="37" t="str">
        <f>IF('Attachment I (Small Carriers)'!B128="","",'Attachment I (Small Carriers)'!B128)</f>
        <v/>
      </c>
      <c r="C122" s="37" t="str">
        <f>IF('Attachment I (Small Carriers)'!C128="","",'Attachment I (Small Carriers)'!C128)</f>
        <v/>
      </c>
      <c r="D122" s="37" t="str">
        <f>IF('Attachment I (Small Carriers)'!D128="","",'Attachment I (Small Carriers)'!D128)</f>
        <v/>
      </c>
    </row>
    <row r="123" spans="1:4" x14ac:dyDescent="0.35">
      <c r="A123" s="37" t="str">
        <f>IF('Attachment I (Small Carriers)'!A129="","",'Attachment I (Small Carriers)'!A129)</f>
        <v/>
      </c>
      <c r="B123" s="37" t="str">
        <f>IF('Attachment I (Small Carriers)'!B129="","",'Attachment I (Small Carriers)'!B129)</f>
        <v/>
      </c>
      <c r="C123" s="37" t="str">
        <f>IF('Attachment I (Small Carriers)'!C129="","",'Attachment I (Small Carriers)'!C129)</f>
        <v/>
      </c>
      <c r="D123" s="37" t="str">
        <f>IF('Attachment I (Small Carriers)'!D129="","",'Attachment I (Small Carriers)'!D129)</f>
        <v/>
      </c>
    </row>
    <row r="124" spans="1:4" x14ac:dyDescent="0.35">
      <c r="A124" s="37" t="str">
        <f>IF('Attachment I (Small Carriers)'!A130="","",'Attachment I (Small Carriers)'!A130)</f>
        <v/>
      </c>
      <c r="B124" s="37" t="str">
        <f>IF('Attachment I (Small Carriers)'!B130="","",'Attachment I (Small Carriers)'!B130)</f>
        <v/>
      </c>
      <c r="C124" s="37" t="str">
        <f>IF('Attachment I (Small Carriers)'!C130="","",'Attachment I (Small Carriers)'!C130)</f>
        <v/>
      </c>
      <c r="D124" s="37" t="str">
        <f>IF('Attachment I (Small Carriers)'!D130="","",'Attachment I (Small Carriers)'!D130)</f>
        <v/>
      </c>
    </row>
    <row r="125" spans="1:4" x14ac:dyDescent="0.35">
      <c r="A125" s="37" t="str">
        <f>IF('Attachment I (Small Carriers)'!A131="","",'Attachment I (Small Carriers)'!A131)</f>
        <v/>
      </c>
      <c r="B125" s="37" t="str">
        <f>IF('Attachment I (Small Carriers)'!B131="","",'Attachment I (Small Carriers)'!B131)</f>
        <v/>
      </c>
      <c r="C125" s="37" t="str">
        <f>IF('Attachment I (Small Carriers)'!C131="","",'Attachment I (Small Carriers)'!C131)</f>
        <v/>
      </c>
      <c r="D125" s="37" t="str">
        <f>IF('Attachment I (Small Carriers)'!D131="","",'Attachment I (Small Carriers)'!D131)</f>
        <v/>
      </c>
    </row>
    <row r="126" spans="1:4" x14ac:dyDescent="0.35">
      <c r="A126" s="37" t="str">
        <f>IF('Attachment I (Small Carriers)'!A132="","",'Attachment I (Small Carriers)'!A132)</f>
        <v/>
      </c>
      <c r="B126" s="37" t="str">
        <f>IF('Attachment I (Small Carriers)'!B132="","",'Attachment I (Small Carriers)'!B132)</f>
        <v/>
      </c>
      <c r="C126" s="37" t="str">
        <f>IF('Attachment I (Small Carriers)'!C132="","",'Attachment I (Small Carriers)'!C132)</f>
        <v/>
      </c>
      <c r="D126" s="37" t="str">
        <f>IF('Attachment I (Small Carriers)'!D132="","",'Attachment I (Small Carriers)'!D132)</f>
        <v/>
      </c>
    </row>
    <row r="127" spans="1:4" x14ac:dyDescent="0.35">
      <c r="A127" s="37" t="str">
        <f>IF('Attachment I (Small Carriers)'!A133="","",'Attachment I (Small Carriers)'!A133)</f>
        <v/>
      </c>
      <c r="B127" s="37" t="str">
        <f>IF('Attachment I (Small Carriers)'!B133="","",'Attachment I (Small Carriers)'!B133)</f>
        <v/>
      </c>
      <c r="C127" s="37" t="str">
        <f>IF('Attachment I (Small Carriers)'!C133="","",'Attachment I (Small Carriers)'!C133)</f>
        <v/>
      </c>
      <c r="D127" s="37" t="str">
        <f>IF('Attachment I (Small Carriers)'!D133="","",'Attachment I (Small Carriers)'!D133)</f>
        <v/>
      </c>
    </row>
    <row r="128" spans="1:4" x14ac:dyDescent="0.35">
      <c r="A128" s="37" t="str">
        <f>IF('Attachment I (Small Carriers)'!A134="","",'Attachment I (Small Carriers)'!A134)</f>
        <v/>
      </c>
      <c r="B128" s="37" t="str">
        <f>IF('Attachment I (Small Carriers)'!B134="","",'Attachment I (Small Carriers)'!B134)</f>
        <v/>
      </c>
      <c r="C128" s="37" t="str">
        <f>IF('Attachment I (Small Carriers)'!C134="","",'Attachment I (Small Carriers)'!C134)</f>
        <v/>
      </c>
      <c r="D128" s="37" t="str">
        <f>IF('Attachment I (Small Carriers)'!D134="","",'Attachment I (Small Carriers)'!D134)</f>
        <v/>
      </c>
    </row>
    <row r="129" spans="1:4" x14ac:dyDescent="0.35">
      <c r="A129" s="37" t="str">
        <f>IF('Attachment I (Small Carriers)'!A135="","",'Attachment I (Small Carriers)'!A135)</f>
        <v/>
      </c>
      <c r="B129" s="37" t="str">
        <f>IF('Attachment I (Small Carriers)'!B135="","",'Attachment I (Small Carriers)'!B135)</f>
        <v/>
      </c>
      <c r="C129" s="37" t="str">
        <f>IF('Attachment I (Small Carriers)'!C135="","",'Attachment I (Small Carriers)'!C135)</f>
        <v/>
      </c>
      <c r="D129" s="37" t="str">
        <f>IF('Attachment I (Small Carriers)'!D135="","",'Attachment I (Small Carriers)'!D135)</f>
        <v/>
      </c>
    </row>
    <row r="130" spans="1:4" x14ac:dyDescent="0.35">
      <c r="A130" s="37" t="str">
        <f>IF('Attachment I (Small Carriers)'!A136="","",'Attachment I (Small Carriers)'!A136)</f>
        <v/>
      </c>
      <c r="B130" s="37" t="str">
        <f>IF('Attachment I (Small Carriers)'!B136="","",'Attachment I (Small Carriers)'!B136)</f>
        <v/>
      </c>
      <c r="C130" s="37" t="str">
        <f>IF('Attachment I (Small Carriers)'!C136="","",'Attachment I (Small Carriers)'!C136)</f>
        <v/>
      </c>
      <c r="D130" s="37" t="str">
        <f>IF('Attachment I (Small Carriers)'!D136="","",'Attachment I (Small Carriers)'!D136)</f>
        <v/>
      </c>
    </row>
    <row r="131" spans="1:4" x14ac:dyDescent="0.35">
      <c r="A131" s="37" t="str">
        <f>IF('Attachment I (Small Carriers)'!A137="","",'Attachment I (Small Carriers)'!A137)</f>
        <v/>
      </c>
      <c r="B131" s="37" t="str">
        <f>IF('Attachment I (Small Carriers)'!B137="","",'Attachment I (Small Carriers)'!B137)</f>
        <v/>
      </c>
      <c r="C131" s="37" t="str">
        <f>IF('Attachment I (Small Carriers)'!C137="","",'Attachment I (Small Carriers)'!C137)</f>
        <v/>
      </c>
      <c r="D131" s="37" t="str">
        <f>IF('Attachment I (Small Carriers)'!D137="","",'Attachment I (Small Carriers)'!D137)</f>
        <v/>
      </c>
    </row>
    <row r="132" spans="1:4" x14ac:dyDescent="0.35">
      <c r="A132" s="37" t="str">
        <f>IF('Attachment I (Small Carriers)'!A138="","",'Attachment I (Small Carriers)'!A138)</f>
        <v/>
      </c>
      <c r="B132" s="37" t="str">
        <f>IF('Attachment I (Small Carriers)'!B138="","",'Attachment I (Small Carriers)'!B138)</f>
        <v/>
      </c>
      <c r="C132" s="37" t="str">
        <f>IF('Attachment I (Small Carriers)'!C138="","",'Attachment I (Small Carriers)'!C138)</f>
        <v/>
      </c>
      <c r="D132" s="37" t="str">
        <f>IF('Attachment I (Small Carriers)'!D138="","",'Attachment I (Small Carriers)'!D138)</f>
        <v/>
      </c>
    </row>
    <row r="133" spans="1:4" x14ac:dyDescent="0.35">
      <c r="A133" s="37" t="str">
        <f>IF('Attachment I (Small Carriers)'!A139="","",'Attachment I (Small Carriers)'!A139)</f>
        <v/>
      </c>
      <c r="B133" s="37" t="str">
        <f>IF('Attachment I (Small Carriers)'!B139="","",'Attachment I (Small Carriers)'!B139)</f>
        <v/>
      </c>
      <c r="C133" s="37" t="str">
        <f>IF('Attachment I (Small Carriers)'!C139="","",'Attachment I (Small Carriers)'!C139)</f>
        <v/>
      </c>
      <c r="D133" s="37" t="str">
        <f>IF('Attachment I (Small Carriers)'!D139="","",'Attachment I (Small Carriers)'!D139)</f>
        <v/>
      </c>
    </row>
    <row r="134" spans="1:4" x14ac:dyDescent="0.35">
      <c r="A134" s="37" t="str">
        <f>IF('Attachment I (Small Carriers)'!A140="","",'Attachment I (Small Carriers)'!A140)</f>
        <v/>
      </c>
      <c r="B134" s="37" t="str">
        <f>IF('Attachment I (Small Carriers)'!B140="","",'Attachment I (Small Carriers)'!B140)</f>
        <v/>
      </c>
      <c r="C134" s="37" t="str">
        <f>IF('Attachment I (Small Carriers)'!C140="","",'Attachment I (Small Carriers)'!C140)</f>
        <v/>
      </c>
      <c r="D134" s="37" t="str">
        <f>IF('Attachment I (Small Carriers)'!D140="","",'Attachment I (Small Carriers)'!D140)</f>
        <v/>
      </c>
    </row>
    <row r="135" spans="1:4" x14ac:dyDescent="0.35">
      <c r="A135" s="37" t="str">
        <f>IF('Attachment I (Small Carriers)'!A141="","",'Attachment I (Small Carriers)'!A141)</f>
        <v/>
      </c>
      <c r="B135" s="37" t="str">
        <f>IF('Attachment I (Small Carriers)'!B141="","",'Attachment I (Small Carriers)'!B141)</f>
        <v/>
      </c>
      <c r="C135" s="37" t="str">
        <f>IF('Attachment I (Small Carriers)'!C141="","",'Attachment I (Small Carriers)'!C141)</f>
        <v/>
      </c>
      <c r="D135" s="37" t="str">
        <f>IF('Attachment I (Small Carriers)'!D141="","",'Attachment I (Small Carriers)'!D141)</f>
        <v/>
      </c>
    </row>
    <row r="136" spans="1:4" x14ac:dyDescent="0.35">
      <c r="A136" s="37" t="str">
        <f>IF('Attachment I (Small Carriers)'!A142="","",'Attachment I (Small Carriers)'!A142)</f>
        <v/>
      </c>
      <c r="B136" s="37" t="str">
        <f>IF('Attachment I (Small Carriers)'!B142="","",'Attachment I (Small Carriers)'!B142)</f>
        <v/>
      </c>
      <c r="C136" s="37" t="str">
        <f>IF('Attachment I (Small Carriers)'!C142="","",'Attachment I (Small Carriers)'!C142)</f>
        <v/>
      </c>
      <c r="D136" s="37" t="str">
        <f>IF('Attachment I (Small Carriers)'!D142="","",'Attachment I (Small Carriers)'!D142)</f>
        <v/>
      </c>
    </row>
    <row r="137" spans="1:4" x14ac:dyDescent="0.35">
      <c r="A137" s="37" t="str">
        <f>IF('Attachment I (Small Carriers)'!A143="","",'Attachment I (Small Carriers)'!A143)</f>
        <v/>
      </c>
      <c r="B137" s="37" t="str">
        <f>IF('Attachment I (Small Carriers)'!B143="","",'Attachment I (Small Carriers)'!B143)</f>
        <v/>
      </c>
      <c r="C137" s="37" t="str">
        <f>IF('Attachment I (Small Carriers)'!C143="","",'Attachment I (Small Carriers)'!C143)</f>
        <v/>
      </c>
      <c r="D137" s="37" t="str">
        <f>IF('Attachment I (Small Carriers)'!D143="","",'Attachment I (Small Carriers)'!D143)</f>
        <v/>
      </c>
    </row>
    <row r="138" spans="1:4" x14ac:dyDescent="0.35">
      <c r="A138" s="37" t="str">
        <f>IF('Attachment I (Small Carriers)'!A144="","",'Attachment I (Small Carriers)'!A144)</f>
        <v/>
      </c>
      <c r="B138" s="37" t="str">
        <f>IF('Attachment I (Small Carriers)'!B144="","",'Attachment I (Small Carriers)'!B144)</f>
        <v/>
      </c>
      <c r="C138" s="37" t="str">
        <f>IF('Attachment I (Small Carriers)'!C144="","",'Attachment I (Small Carriers)'!C144)</f>
        <v/>
      </c>
      <c r="D138" s="37" t="str">
        <f>IF('Attachment I (Small Carriers)'!D144="","",'Attachment I (Small Carriers)'!D144)</f>
        <v/>
      </c>
    </row>
    <row r="139" spans="1:4" x14ac:dyDescent="0.35">
      <c r="A139" s="37" t="str">
        <f>IF('Attachment I (Small Carriers)'!A145="","",'Attachment I (Small Carriers)'!A145)</f>
        <v/>
      </c>
      <c r="B139" s="37" t="str">
        <f>IF('Attachment I (Small Carriers)'!B145="","",'Attachment I (Small Carriers)'!B145)</f>
        <v/>
      </c>
      <c r="C139" s="37" t="str">
        <f>IF('Attachment I (Small Carriers)'!C145="","",'Attachment I (Small Carriers)'!C145)</f>
        <v/>
      </c>
      <c r="D139" s="37" t="str">
        <f>IF('Attachment I (Small Carriers)'!D145="","",'Attachment I (Small Carriers)'!D145)</f>
        <v/>
      </c>
    </row>
    <row r="140" spans="1:4" x14ac:dyDescent="0.35">
      <c r="A140" s="37" t="str">
        <f>IF('Attachment I (Small Carriers)'!A146="","",'Attachment I (Small Carriers)'!A146)</f>
        <v/>
      </c>
      <c r="B140" s="37" t="str">
        <f>IF('Attachment I (Small Carriers)'!B146="","",'Attachment I (Small Carriers)'!B146)</f>
        <v/>
      </c>
      <c r="C140" s="37" t="str">
        <f>IF('Attachment I (Small Carriers)'!C146="","",'Attachment I (Small Carriers)'!C146)</f>
        <v/>
      </c>
      <c r="D140" s="37" t="str">
        <f>IF('Attachment I (Small Carriers)'!D146="","",'Attachment I (Small Carriers)'!D146)</f>
        <v/>
      </c>
    </row>
    <row r="141" spans="1:4" x14ac:dyDescent="0.35">
      <c r="A141" s="37" t="str">
        <f>IF('Attachment I (Small Carriers)'!A147="","",'Attachment I (Small Carriers)'!A147)</f>
        <v/>
      </c>
      <c r="B141" s="37" t="str">
        <f>IF('Attachment I (Small Carriers)'!B147="","",'Attachment I (Small Carriers)'!B147)</f>
        <v/>
      </c>
      <c r="C141" s="37" t="str">
        <f>IF('Attachment I (Small Carriers)'!C147="","",'Attachment I (Small Carriers)'!C147)</f>
        <v/>
      </c>
      <c r="D141" s="37" t="str">
        <f>IF('Attachment I (Small Carriers)'!D147="","",'Attachment I (Small Carriers)'!D147)</f>
        <v/>
      </c>
    </row>
    <row r="142" spans="1:4" x14ac:dyDescent="0.35">
      <c r="A142" s="37" t="str">
        <f>IF('Attachment I (Small Carriers)'!A148="","",'Attachment I (Small Carriers)'!A148)</f>
        <v/>
      </c>
      <c r="B142" s="37" t="str">
        <f>IF('Attachment I (Small Carriers)'!B148="","",'Attachment I (Small Carriers)'!B148)</f>
        <v/>
      </c>
      <c r="C142" s="37" t="str">
        <f>IF('Attachment I (Small Carriers)'!C148="","",'Attachment I (Small Carriers)'!C148)</f>
        <v/>
      </c>
      <c r="D142" s="37" t="str">
        <f>IF('Attachment I (Small Carriers)'!D148="","",'Attachment I (Small Carriers)'!D148)</f>
        <v/>
      </c>
    </row>
    <row r="143" spans="1:4" x14ac:dyDescent="0.35">
      <c r="A143" s="37" t="str">
        <f>IF('Attachment I (Small Carriers)'!A149="","",'Attachment I (Small Carriers)'!A149)</f>
        <v/>
      </c>
      <c r="B143" s="37" t="str">
        <f>IF('Attachment I (Small Carriers)'!B149="","",'Attachment I (Small Carriers)'!B149)</f>
        <v/>
      </c>
      <c r="C143" s="37" t="str">
        <f>IF('Attachment I (Small Carriers)'!C149="","",'Attachment I (Small Carriers)'!C149)</f>
        <v/>
      </c>
      <c r="D143" s="37" t="str">
        <f>IF('Attachment I (Small Carriers)'!D149="","",'Attachment I (Small Carriers)'!D149)</f>
        <v/>
      </c>
    </row>
    <row r="144" spans="1:4" x14ac:dyDescent="0.35">
      <c r="A144" s="37" t="str">
        <f>IF('Attachment I (Small Carriers)'!A150="","",'Attachment I (Small Carriers)'!A150)</f>
        <v/>
      </c>
      <c r="B144" s="37" t="str">
        <f>IF('Attachment I (Small Carriers)'!B150="","",'Attachment I (Small Carriers)'!B150)</f>
        <v/>
      </c>
      <c r="C144" s="37" t="str">
        <f>IF('Attachment I (Small Carriers)'!C150="","",'Attachment I (Small Carriers)'!C150)</f>
        <v/>
      </c>
      <c r="D144" s="37" t="str">
        <f>IF('Attachment I (Small Carriers)'!D150="","",'Attachment I (Small Carriers)'!D150)</f>
        <v/>
      </c>
    </row>
    <row r="145" spans="1:4" x14ac:dyDescent="0.35">
      <c r="A145" s="37" t="str">
        <f>IF('Attachment I (Small Carriers)'!A151="","",'Attachment I (Small Carriers)'!A151)</f>
        <v/>
      </c>
      <c r="B145" s="37" t="str">
        <f>IF('Attachment I (Small Carriers)'!B151="","",'Attachment I (Small Carriers)'!B151)</f>
        <v/>
      </c>
      <c r="C145" s="37" t="str">
        <f>IF('Attachment I (Small Carriers)'!C151="","",'Attachment I (Small Carriers)'!C151)</f>
        <v/>
      </c>
      <c r="D145" s="37" t="str">
        <f>IF('Attachment I (Small Carriers)'!D151="","",'Attachment I (Small Carriers)'!D151)</f>
        <v/>
      </c>
    </row>
    <row r="146" spans="1:4" x14ac:dyDescent="0.35">
      <c r="A146" s="37" t="str">
        <f>IF('Attachment I (Small Carriers)'!A152="","",'Attachment I (Small Carriers)'!A152)</f>
        <v/>
      </c>
      <c r="B146" s="37" t="str">
        <f>IF('Attachment I (Small Carriers)'!B152="","",'Attachment I (Small Carriers)'!B152)</f>
        <v/>
      </c>
      <c r="C146" s="37" t="str">
        <f>IF('Attachment I (Small Carriers)'!C152="","",'Attachment I (Small Carriers)'!C152)</f>
        <v/>
      </c>
      <c r="D146" s="37" t="str">
        <f>IF('Attachment I (Small Carriers)'!D152="","",'Attachment I (Small Carriers)'!D152)</f>
        <v/>
      </c>
    </row>
    <row r="147" spans="1:4" x14ac:dyDescent="0.35">
      <c r="A147" s="37" t="str">
        <f>IF('Attachment I (Small Carriers)'!A153="","",'Attachment I (Small Carriers)'!A153)</f>
        <v/>
      </c>
      <c r="B147" s="37" t="str">
        <f>IF('Attachment I (Small Carriers)'!B153="","",'Attachment I (Small Carriers)'!B153)</f>
        <v/>
      </c>
      <c r="C147" s="37" t="str">
        <f>IF('Attachment I (Small Carriers)'!C153="","",'Attachment I (Small Carriers)'!C153)</f>
        <v/>
      </c>
      <c r="D147" s="37" t="str">
        <f>IF('Attachment I (Small Carriers)'!D153="","",'Attachment I (Small Carriers)'!D153)</f>
        <v/>
      </c>
    </row>
    <row r="148" spans="1:4" x14ac:dyDescent="0.35">
      <c r="A148" s="37" t="str">
        <f>IF('Attachment I (Small Carriers)'!A154="","",'Attachment I (Small Carriers)'!A154)</f>
        <v/>
      </c>
      <c r="B148" s="37" t="str">
        <f>IF('Attachment I (Small Carriers)'!B154="","",'Attachment I (Small Carriers)'!B154)</f>
        <v/>
      </c>
      <c r="C148" s="37" t="str">
        <f>IF('Attachment I (Small Carriers)'!C154="","",'Attachment I (Small Carriers)'!C154)</f>
        <v/>
      </c>
      <c r="D148" s="37" t="str">
        <f>IF('Attachment I (Small Carriers)'!D154="","",'Attachment I (Small Carriers)'!D154)</f>
        <v/>
      </c>
    </row>
    <row r="149" spans="1:4" x14ac:dyDescent="0.35">
      <c r="A149" s="37" t="str">
        <f>IF('Attachment I (Small Carriers)'!A155="","",'Attachment I (Small Carriers)'!A155)</f>
        <v/>
      </c>
      <c r="B149" s="37" t="str">
        <f>IF('Attachment I (Small Carriers)'!B155="","",'Attachment I (Small Carriers)'!B155)</f>
        <v/>
      </c>
      <c r="C149" s="37" t="str">
        <f>IF('Attachment I (Small Carriers)'!C155="","",'Attachment I (Small Carriers)'!C155)</f>
        <v/>
      </c>
      <c r="D149" s="37" t="str">
        <f>IF('Attachment I (Small Carriers)'!D155="","",'Attachment I (Small Carriers)'!D155)</f>
        <v/>
      </c>
    </row>
    <row r="150" spans="1:4" x14ac:dyDescent="0.35">
      <c r="A150" s="37" t="str">
        <f>IF('Attachment I (Small Carriers)'!A156="","",'Attachment I (Small Carriers)'!A156)</f>
        <v/>
      </c>
      <c r="B150" s="37" t="str">
        <f>IF('Attachment I (Small Carriers)'!B156="","",'Attachment I (Small Carriers)'!B156)</f>
        <v/>
      </c>
      <c r="C150" s="37" t="str">
        <f>IF('Attachment I (Small Carriers)'!C156="","",'Attachment I (Small Carriers)'!C156)</f>
        <v/>
      </c>
      <c r="D150" s="37" t="str">
        <f>IF('Attachment I (Small Carriers)'!D156="","",'Attachment I (Small Carriers)'!D156)</f>
        <v/>
      </c>
    </row>
    <row r="151" spans="1:4" x14ac:dyDescent="0.35">
      <c r="A151" s="37" t="str">
        <f>IF('Attachment I (Small Carriers)'!A157="","",'Attachment I (Small Carriers)'!A157)</f>
        <v/>
      </c>
      <c r="B151" s="37" t="str">
        <f>IF('Attachment I (Small Carriers)'!B157="","",'Attachment I (Small Carriers)'!B157)</f>
        <v/>
      </c>
      <c r="C151" s="37" t="str">
        <f>IF('Attachment I (Small Carriers)'!C157="","",'Attachment I (Small Carriers)'!C157)</f>
        <v/>
      </c>
      <c r="D151" s="37" t="str">
        <f>IF('Attachment I (Small Carriers)'!D157="","",'Attachment I (Small Carriers)'!D157)</f>
        <v/>
      </c>
    </row>
    <row r="152" spans="1:4" x14ac:dyDescent="0.35">
      <c r="A152" s="37" t="str">
        <f>IF('Attachment I (Small Carriers)'!A158="","",'Attachment I (Small Carriers)'!A158)</f>
        <v/>
      </c>
      <c r="B152" s="37" t="str">
        <f>IF('Attachment I (Small Carriers)'!B158="","",'Attachment I (Small Carriers)'!B158)</f>
        <v/>
      </c>
      <c r="C152" s="37" t="str">
        <f>IF('Attachment I (Small Carriers)'!C158="","",'Attachment I (Small Carriers)'!C158)</f>
        <v/>
      </c>
      <c r="D152" s="37" t="str">
        <f>IF('Attachment I (Small Carriers)'!D158="","",'Attachment I (Small Carriers)'!D158)</f>
        <v/>
      </c>
    </row>
    <row r="153" spans="1:4" x14ac:dyDescent="0.35">
      <c r="A153" s="37" t="str">
        <f>IF('Attachment I (Small Carriers)'!A159="","",'Attachment I (Small Carriers)'!A159)</f>
        <v/>
      </c>
      <c r="B153" s="37" t="str">
        <f>IF('Attachment I (Small Carriers)'!B159="","",'Attachment I (Small Carriers)'!B159)</f>
        <v/>
      </c>
      <c r="C153" s="37" t="str">
        <f>IF('Attachment I (Small Carriers)'!C159="","",'Attachment I (Small Carriers)'!C159)</f>
        <v/>
      </c>
      <c r="D153" s="37" t="str">
        <f>IF('Attachment I (Small Carriers)'!D159="","",'Attachment I (Small Carriers)'!D159)</f>
        <v/>
      </c>
    </row>
    <row r="154" spans="1:4" x14ac:dyDescent="0.35">
      <c r="A154" s="37" t="str">
        <f>IF('Attachment I (Small Carriers)'!A160="","",'Attachment I (Small Carriers)'!A160)</f>
        <v/>
      </c>
      <c r="B154" s="37" t="str">
        <f>IF('Attachment I (Small Carriers)'!B160="","",'Attachment I (Small Carriers)'!B160)</f>
        <v/>
      </c>
      <c r="C154" s="37" t="str">
        <f>IF('Attachment I (Small Carriers)'!C160="","",'Attachment I (Small Carriers)'!C160)</f>
        <v/>
      </c>
      <c r="D154" s="37" t="str">
        <f>IF('Attachment I (Small Carriers)'!D160="","",'Attachment I (Small Carriers)'!D160)</f>
        <v/>
      </c>
    </row>
    <row r="155" spans="1:4" x14ac:dyDescent="0.35">
      <c r="A155" s="37" t="str">
        <f>IF('Attachment I (Small Carriers)'!A161="","",'Attachment I (Small Carriers)'!A161)</f>
        <v/>
      </c>
      <c r="B155" s="37" t="str">
        <f>IF('Attachment I (Small Carriers)'!B161="","",'Attachment I (Small Carriers)'!B161)</f>
        <v/>
      </c>
      <c r="C155" s="37" t="str">
        <f>IF('Attachment I (Small Carriers)'!C161="","",'Attachment I (Small Carriers)'!C161)</f>
        <v/>
      </c>
      <c r="D155" s="37" t="str">
        <f>IF('Attachment I (Small Carriers)'!D161="","",'Attachment I (Small Carriers)'!D161)</f>
        <v/>
      </c>
    </row>
    <row r="156" spans="1:4" x14ac:dyDescent="0.35">
      <c r="A156" s="37" t="str">
        <f>IF('Attachment I (Small Carriers)'!A162="","",'Attachment I (Small Carriers)'!A162)</f>
        <v/>
      </c>
      <c r="B156" s="37" t="str">
        <f>IF('Attachment I (Small Carriers)'!B162="","",'Attachment I (Small Carriers)'!B162)</f>
        <v/>
      </c>
      <c r="C156" s="37" t="str">
        <f>IF('Attachment I (Small Carriers)'!C162="","",'Attachment I (Small Carriers)'!C162)</f>
        <v/>
      </c>
      <c r="D156" s="37" t="str">
        <f>IF('Attachment I (Small Carriers)'!D162="","",'Attachment I (Small Carriers)'!D162)</f>
        <v/>
      </c>
    </row>
    <row r="157" spans="1:4" x14ac:dyDescent="0.35">
      <c r="A157" s="37" t="str">
        <f>IF('Attachment I (Small Carriers)'!A163="","",'Attachment I (Small Carriers)'!A163)</f>
        <v/>
      </c>
      <c r="B157" s="37" t="str">
        <f>IF('Attachment I (Small Carriers)'!B163="","",'Attachment I (Small Carriers)'!B163)</f>
        <v/>
      </c>
      <c r="C157" s="37" t="str">
        <f>IF('Attachment I (Small Carriers)'!C163="","",'Attachment I (Small Carriers)'!C163)</f>
        <v/>
      </c>
      <c r="D157" s="37" t="str">
        <f>IF('Attachment I (Small Carriers)'!D163="","",'Attachment I (Small Carriers)'!D163)</f>
        <v/>
      </c>
    </row>
    <row r="158" spans="1:4" x14ac:dyDescent="0.35">
      <c r="A158" s="37" t="str">
        <f>IF('Attachment I (Small Carriers)'!A164="","",'Attachment I (Small Carriers)'!A164)</f>
        <v/>
      </c>
      <c r="B158" s="37" t="str">
        <f>IF('Attachment I (Small Carriers)'!B164="","",'Attachment I (Small Carriers)'!B164)</f>
        <v/>
      </c>
      <c r="C158" s="37" t="str">
        <f>IF('Attachment I (Small Carriers)'!C164="","",'Attachment I (Small Carriers)'!C164)</f>
        <v/>
      </c>
      <c r="D158" s="37" t="str">
        <f>IF('Attachment I (Small Carriers)'!D164="","",'Attachment I (Small Carriers)'!D164)</f>
        <v/>
      </c>
    </row>
    <row r="159" spans="1:4" x14ac:dyDescent="0.35">
      <c r="A159" s="37" t="str">
        <f>IF('Attachment I (Small Carriers)'!A165="","",'Attachment I (Small Carriers)'!A165)</f>
        <v/>
      </c>
      <c r="B159" s="37" t="str">
        <f>IF('Attachment I (Small Carriers)'!B165="","",'Attachment I (Small Carriers)'!B165)</f>
        <v/>
      </c>
      <c r="C159" s="37" t="str">
        <f>IF('Attachment I (Small Carriers)'!C165="","",'Attachment I (Small Carriers)'!C165)</f>
        <v/>
      </c>
      <c r="D159" s="37" t="str">
        <f>IF('Attachment I (Small Carriers)'!D165="","",'Attachment I (Small Carriers)'!D165)</f>
        <v/>
      </c>
    </row>
    <row r="160" spans="1:4" x14ac:dyDescent="0.35">
      <c r="A160" s="37" t="str">
        <f>IF('Attachment I (Small Carriers)'!A166="","",'Attachment I (Small Carriers)'!A166)</f>
        <v/>
      </c>
      <c r="B160" s="37" t="str">
        <f>IF('Attachment I (Small Carriers)'!B166="","",'Attachment I (Small Carriers)'!B166)</f>
        <v/>
      </c>
      <c r="C160" s="37" t="str">
        <f>IF('Attachment I (Small Carriers)'!C166="","",'Attachment I (Small Carriers)'!C166)</f>
        <v/>
      </c>
      <c r="D160" s="37" t="str">
        <f>IF('Attachment I (Small Carriers)'!D166="","",'Attachment I (Small Carriers)'!D166)</f>
        <v/>
      </c>
    </row>
    <row r="161" spans="1:4" x14ac:dyDescent="0.35">
      <c r="A161" s="37" t="str">
        <f>IF('Attachment I (Small Carriers)'!A167="","",'Attachment I (Small Carriers)'!A167)</f>
        <v/>
      </c>
      <c r="B161" s="37" t="str">
        <f>IF('Attachment I (Small Carriers)'!B167="","",'Attachment I (Small Carriers)'!B167)</f>
        <v/>
      </c>
      <c r="C161" s="37" t="str">
        <f>IF('Attachment I (Small Carriers)'!C167="","",'Attachment I (Small Carriers)'!C167)</f>
        <v/>
      </c>
      <c r="D161" s="37" t="str">
        <f>IF('Attachment I (Small Carriers)'!D167="","",'Attachment I (Small Carriers)'!D167)</f>
        <v/>
      </c>
    </row>
    <row r="162" spans="1:4" x14ac:dyDescent="0.35">
      <c r="A162" s="37" t="str">
        <f>IF('Attachment I (Small Carriers)'!A168="","",'Attachment I (Small Carriers)'!A168)</f>
        <v/>
      </c>
      <c r="B162" s="37" t="str">
        <f>IF('Attachment I (Small Carriers)'!B168="","",'Attachment I (Small Carriers)'!B168)</f>
        <v/>
      </c>
      <c r="C162" s="37" t="str">
        <f>IF('Attachment I (Small Carriers)'!C168="","",'Attachment I (Small Carriers)'!C168)</f>
        <v/>
      </c>
      <c r="D162" s="37" t="str">
        <f>IF('Attachment I (Small Carriers)'!D168="","",'Attachment I (Small Carriers)'!D168)</f>
        <v/>
      </c>
    </row>
    <row r="163" spans="1:4" x14ac:dyDescent="0.35">
      <c r="A163" s="37" t="str">
        <f>IF('Attachment I (Small Carriers)'!A169="","",'Attachment I (Small Carriers)'!A169)</f>
        <v/>
      </c>
      <c r="B163" s="37" t="str">
        <f>IF('Attachment I (Small Carriers)'!B169="","",'Attachment I (Small Carriers)'!B169)</f>
        <v/>
      </c>
      <c r="C163" s="37" t="str">
        <f>IF('Attachment I (Small Carriers)'!C169="","",'Attachment I (Small Carriers)'!C169)</f>
        <v/>
      </c>
      <c r="D163" s="37" t="str">
        <f>IF('Attachment I (Small Carriers)'!D169="","",'Attachment I (Small Carriers)'!D169)</f>
        <v/>
      </c>
    </row>
    <row r="164" spans="1:4" x14ac:dyDescent="0.35">
      <c r="A164" s="37" t="str">
        <f>IF('Attachment I (Small Carriers)'!A170="","",'Attachment I (Small Carriers)'!A170)</f>
        <v/>
      </c>
      <c r="B164" s="37" t="str">
        <f>IF('Attachment I (Small Carriers)'!B170="","",'Attachment I (Small Carriers)'!B170)</f>
        <v/>
      </c>
      <c r="C164" s="37" t="str">
        <f>IF('Attachment I (Small Carriers)'!C170="","",'Attachment I (Small Carriers)'!C170)</f>
        <v/>
      </c>
      <c r="D164" s="37" t="str">
        <f>IF('Attachment I (Small Carriers)'!D170="","",'Attachment I (Small Carriers)'!D170)</f>
        <v/>
      </c>
    </row>
    <row r="165" spans="1:4" x14ac:dyDescent="0.35">
      <c r="A165" s="37" t="str">
        <f>IF('Attachment I (Small Carriers)'!A171="","",'Attachment I (Small Carriers)'!A171)</f>
        <v/>
      </c>
      <c r="B165" s="37" t="str">
        <f>IF('Attachment I (Small Carriers)'!B171="","",'Attachment I (Small Carriers)'!B171)</f>
        <v/>
      </c>
      <c r="C165" s="37" t="str">
        <f>IF('Attachment I (Small Carriers)'!C171="","",'Attachment I (Small Carriers)'!C171)</f>
        <v/>
      </c>
      <c r="D165" s="37" t="str">
        <f>IF('Attachment I (Small Carriers)'!D171="","",'Attachment I (Small Carriers)'!D171)</f>
        <v/>
      </c>
    </row>
    <row r="166" spans="1:4" x14ac:dyDescent="0.35">
      <c r="A166" s="37" t="str">
        <f>IF('Attachment I (Small Carriers)'!A172="","",'Attachment I (Small Carriers)'!A172)</f>
        <v/>
      </c>
      <c r="B166" s="37" t="str">
        <f>IF('Attachment I (Small Carriers)'!B172="","",'Attachment I (Small Carriers)'!B172)</f>
        <v/>
      </c>
      <c r="C166" s="37" t="str">
        <f>IF('Attachment I (Small Carriers)'!C172="","",'Attachment I (Small Carriers)'!C172)</f>
        <v/>
      </c>
      <c r="D166" s="37" t="str">
        <f>IF('Attachment I (Small Carriers)'!D172="","",'Attachment I (Small Carriers)'!D172)</f>
        <v/>
      </c>
    </row>
    <row r="167" spans="1:4" x14ac:dyDescent="0.35">
      <c r="A167" s="37" t="str">
        <f>IF('Attachment I (Small Carriers)'!A173="","",'Attachment I (Small Carriers)'!A173)</f>
        <v/>
      </c>
      <c r="B167" s="37" t="str">
        <f>IF('Attachment I (Small Carriers)'!B173="","",'Attachment I (Small Carriers)'!B173)</f>
        <v/>
      </c>
      <c r="C167" s="37" t="str">
        <f>IF('Attachment I (Small Carriers)'!C173="","",'Attachment I (Small Carriers)'!C173)</f>
        <v/>
      </c>
      <c r="D167" s="37" t="str">
        <f>IF('Attachment I (Small Carriers)'!D173="","",'Attachment I (Small Carriers)'!D173)</f>
        <v/>
      </c>
    </row>
    <row r="168" spans="1:4" x14ac:dyDescent="0.35">
      <c r="A168" s="37" t="str">
        <f>IF('Attachment I (Small Carriers)'!A174="","",'Attachment I (Small Carriers)'!A174)</f>
        <v/>
      </c>
      <c r="B168" s="37" t="str">
        <f>IF('Attachment I (Small Carriers)'!B174="","",'Attachment I (Small Carriers)'!B174)</f>
        <v/>
      </c>
      <c r="C168" s="37" t="str">
        <f>IF('Attachment I (Small Carriers)'!C174="","",'Attachment I (Small Carriers)'!C174)</f>
        <v/>
      </c>
      <c r="D168" s="37" t="str">
        <f>IF('Attachment I (Small Carriers)'!D174="","",'Attachment I (Small Carriers)'!D174)</f>
        <v/>
      </c>
    </row>
    <row r="169" spans="1:4" x14ac:dyDescent="0.35">
      <c r="A169" s="37" t="str">
        <f>IF('Attachment I (Small Carriers)'!A175="","",'Attachment I (Small Carriers)'!A175)</f>
        <v/>
      </c>
      <c r="B169" s="37" t="str">
        <f>IF('Attachment I (Small Carriers)'!B175="","",'Attachment I (Small Carriers)'!B175)</f>
        <v/>
      </c>
      <c r="C169" s="37" t="str">
        <f>IF('Attachment I (Small Carriers)'!C175="","",'Attachment I (Small Carriers)'!C175)</f>
        <v/>
      </c>
      <c r="D169" s="37" t="str">
        <f>IF('Attachment I (Small Carriers)'!D175="","",'Attachment I (Small Carriers)'!D175)</f>
        <v/>
      </c>
    </row>
    <row r="170" spans="1:4" x14ac:dyDescent="0.35">
      <c r="A170" s="37" t="str">
        <f>IF('Attachment I (Small Carriers)'!A176="","",'Attachment I (Small Carriers)'!A176)</f>
        <v/>
      </c>
      <c r="B170" s="37" t="str">
        <f>IF('Attachment I (Small Carriers)'!B176="","",'Attachment I (Small Carriers)'!B176)</f>
        <v/>
      </c>
      <c r="C170" s="37" t="str">
        <f>IF('Attachment I (Small Carriers)'!C176="","",'Attachment I (Small Carriers)'!C176)</f>
        <v/>
      </c>
      <c r="D170" s="37" t="str">
        <f>IF('Attachment I (Small Carriers)'!D176="","",'Attachment I (Small Carriers)'!D176)</f>
        <v/>
      </c>
    </row>
    <row r="171" spans="1:4" x14ac:dyDescent="0.35">
      <c r="A171" s="37" t="str">
        <f>IF('Attachment I (Small Carriers)'!A177="","",'Attachment I (Small Carriers)'!A177)</f>
        <v/>
      </c>
      <c r="B171" s="37" t="str">
        <f>IF('Attachment I (Small Carriers)'!B177="","",'Attachment I (Small Carriers)'!B177)</f>
        <v/>
      </c>
      <c r="C171" s="37" t="str">
        <f>IF('Attachment I (Small Carriers)'!C177="","",'Attachment I (Small Carriers)'!C177)</f>
        <v/>
      </c>
      <c r="D171" s="37" t="str">
        <f>IF('Attachment I (Small Carriers)'!D177="","",'Attachment I (Small Carriers)'!D177)</f>
        <v/>
      </c>
    </row>
    <row r="172" spans="1:4" x14ac:dyDescent="0.35">
      <c r="A172" s="37" t="str">
        <f>IF('Attachment I (Small Carriers)'!A178="","",'Attachment I (Small Carriers)'!A178)</f>
        <v/>
      </c>
      <c r="B172" s="37" t="str">
        <f>IF('Attachment I (Small Carriers)'!B178="","",'Attachment I (Small Carriers)'!B178)</f>
        <v/>
      </c>
      <c r="C172" s="37" t="str">
        <f>IF('Attachment I (Small Carriers)'!C178="","",'Attachment I (Small Carriers)'!C178)</f>
        <v/>
      </c>
      <c r="D172" s="37" t="str">
        <f>IF('Attachment I (Small Carriers)'!D178="","",'Attachment I (Small Carriers)'!D178)</f>
        <v/>
      </c>
    </row>
    <row r="173" spans="1:4" x14ac:dyDescent="0.35">
      <c r="A173" s="37" t="str">
        <f>IF('Attachment I (Small Carriers)'!A179="","",'Attachment I (Small Carriers)'!A179)</f>
        <v/>
      </c>
      <c r="B173" s="37" t="str">
        <f>IF('Attachment I (Small Carriers)'!B179="","",'Attachment I (Small Carriers)'!B179)</f>
        <v/>
      </c>
      <c r="C173" s="37" t="str">
        <f>IF('Attachment I (Small Carriers)'!C179="","",'Attachment I (Small Carriers)'!C179)</f>
        <v/>
      </c>
      <c r="D173" s="37" t="str">
        <f>IF('Attachment I (Small Carriers)'!D179="","",'Attachment I (Small Carriers)'!D179)</f>
        <v/>
      </c>
    </row>
    <row r="174" spans="1:4" x14ac:dyDescent="0.35">
      <c r="A174" s="37" t="str">
        <f>IF('Attachment I (Small Carriers)'!A180="","",'Attachment I (Small Carriers)'!A180)</f>
        <v/>
      </c>
      <c r="B174" s="37" t="str">
        <f>IF('Attachment I (Small Carriers)'!B180="","",'Attachment I (Small Carriers)'!B180)</f>
        <v/>
      </c>
      <c r="C174" s="37" t="str">
        <f>IF('Attachment I (Small Carriers)'!C180="","",'Attachment I (Small Carriers)'!C180)</f>
        <v/>
      </c>
      <c r="D174" s="37" t="str">
        <f>IF('Attachment I (Small Carriers)'!D180="","",'Attachment I (Small Carriers)'!D180)</f>
        <v/>
      </c>
    </row>
    <row r="175" spans="1:4" x14ac:dyDescent="0.35">
      <c r="A175" s="37" t="str">
        <f>IF('Attachment I (Small Carriers)'!A181="","",'Attachment I (Small Carriers)'!A181)</f>
        <v/>
      </c>
      <c r="B175" s="37" t="str">
        <f>IF('Attachment I (Small Carriers)'!B181="","",'Attachment I (Small Carriers)'!B181)</f>
        <v/>
      </c>
      <c r="C175" s="37" t="str">
        <f>IF('Attachment I (Small Carriers)'!C181="","",'Attachment I (Small Carriers)'!C181)</f>
        <v/>
      </c>
      <c r="D175" s="37" t="str">
        <f>IF('Attachment I (Small Carriers)'!D181="","",'Attachment I (Small Carriers)'!D181)</f>
        <v/>
      </c>
    </row>
  </sheetData>
  <sheetProtection algorithmName="SHA-512" hashValue="Ho66iKMrbux1dFlCBj1uR4MvSxDobMYFSrYzCDvG6dtpO/XkXc7gbm75TxtwLQs1Axbk/UfSt8xfFnPJEOYXhw==" saltValue="aNYn83Wc3omR/JV42l6viQ==" spinCount="100000" sheet="1" objects="1" scenarios="1"/>
  <protectedRanges>
    <protectedRange sqref="E13:N175" name="Range1"/>
  </protectedRanges>
  <hyperlinks>
    <hyperlink ref="A9" r:id="rId1" display="** CMS 2021 Actuarial Value Calculator can be found here: http://www.cms.gov/cciio/resources/regulations-and-guidance/index.html " xr:uid="{6F65EEC8-26F8-4018-B17D-878E0AFBE3F1}"/>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6"/>
  <sheetViews>
    <sheetView showGridLines="0" zoomScaleNormal="100" workbookViewId="0">
      <selection activeCell="A29" sqref="A29"/>
    </sheetView>
  </sheetViews>
  <sheetFormatPr defaultColWidth="9.26953125" defaultRowHeight="14.5" x14ac:dyDescent="0.35"/>
  <cols>
    <col min="1" max="1" width="67.81640625" style="4" customWidth="1"/>
    <col min="2" max="4" width="13.453125" style="4" customWidth="1"/>
    <col min="5" max="5" width="10.7265625" style="4" bestFit="1" customWidth="1"/>
    <col min="6" max="6" width="57.26953125" style="4" bestFit="1" customWidth="1"/>
    <col min="7" max="7" width="13.1796875" style="4" customWidth="1"/>
    <col min="8" max="8" width="5.26953125" style="4" customWidth="1"/>
    <col min="9" max="9" width="6.81640625" style="28" customWidth="1"/>
    <col min="10" max="10" width="44.26953125" style="28" customWidth="1"/>
    <col min="11" max="12" width="12.7265625" style="28" customWidth="1"/>
    <col min="13" max="13" width="13.54296875" style="28" customWidth="1"/>
    <col min="14" max="16384" width="9.26953125" style="4"/>
  </cols>
  <sheetData>
    <row r="1" spans="1:13" ht="28.5" x14ac:dyDescent="0.35">
      <c r="A1" s="139" t="str">
        <f>"Attachment II - "&amp;year&amp;" RATE PROPOSAL - LARGE CARRIERS"</f>
        <v>Attachment II - 2024 RATE PROPOSAL - LARGE CARRIERS</v>
      </c>
      <c r="B1" s="61"/>
      <c r="C1" s="61"/>
      <c r="D1" s="166"/>
      <c r="E1" s="166"/>
      <c r="F1" s="166"/>
      <c r="G1" s="166"/>
      <c r="I1" s="7"/>
      <c r="J1" s="7"/>
      <c r="K1" s="7"/>
      <c r="L1" s="7"/>
      <c r="M1" s="7"/>
    </row>
    <row r="2" spans="1:13" ht="18" customHeight="1" x14ac:dyDescent="0.35">
      <c r="A2" s="165" t="s">
        <v>0</v>
      </c>
      <c r="C2" s="36"/>
      <c r="D2" s="146"/>
    </row>
    <row r="3" spans="1:13" ht="18" customHeight="1" x14ac:dyDescent="0.35">
      <c r="A3" s="63" t="s">
        <v>1</v>
      </c>
      <c r="B3" s="179"/>
      <c r="C3" s="109"/>
      <c r="D3" s="109"/>
      <c r="E3" s="36"/>
    </row>
    <row r="4" spans="1:13" ht="18" customHeight="1" x14ac:dyDescent="0.35">
      <c r="A4" s="63" t="s">
        <v>2</v>
      </c>
      <c r="B4" s="64"/>
      <c r="C4" s="109"/>
      <c r="D4" s="109"/>
      <c r="E4" s="36"/>
    </row>
    <row r="5" spans="1:13" ht="18" customHeight="1" x14ac:dyDescent="0.35">
      <c r="A5" s="42" t="s">
        <v>76</v>
      </c>
      <c r="B5" s="90">
        <v>2024</v>
      </c>
      <c r="C5" s="109"/>
      <c r="D5" s="109"/>
      <c r="E5" s="5"/>
      <c r="F5" s="5"/>
      <c r="G5" s="5"/>
      <c r="H5" s="5"/>
    </row>
    <row r="6" spans="1:13" ht="18" customHeight="1" x14ac:dyDescent="0.35">
      <c r="A6" s="63" t="s">
        <v>3</v>
      </c>
      <c r="B6" s="64"/>
      <c r="C6" s="109"/>
      <c r="D6" s="109"/>
      <c r="E6" s="5"/>
      <c r="F6" s="5"/>
      <c r="G6" s="5"/>
      <c r="H6" s="5"/>
    </row>
    <row r="7" spans="1:13" ht="18" customHeight="1" x14ac:dyDescent="0.35">
      <c r="A7" s="63" t="s">
        <v>78</v>
      </c>
      <c r="B7" s="108"/>
      <c r="C7" s="109"/>
      <c r="D7" s="109"/>
      <c r="E7" s="5"/>
      <c r="F7" s="5"/>
      <c r="G7" s="5"/>
      <c r="H7" s="5"/>
    </row>
    <row r="8" spans="1:13" ht="18" customHeight="1" x14ac:dyDescent="0.35">
      <c r="A8" s="165"/>
      <c r="B8" s="165"/>
      <c r="C8" s="165"/>
      <c r="D8" s="165"/>
      <c r="E8" s="6"/>
      <c r="F8" s="6"/>
      <c r="G8" s="6"/>
      <c r="H8" s="6"/>
    </row>
    <row r="9" spans="1:13" ht="18" customHeight="1" x14ac:dyDescent="0.35">
      <c r="A9" s="95" t="s">
        <v>100</v>
      </c>
      <c r="B9" s="62" t="s">
        <v>4</v>
      </c>
      <c r="C9" s="62" t="s">
        <v>77</v>
      </c>
      <c r="D9" s="66" t="s">
        <v>5</v>
      </c>
      <c r="E9" s="5"/>
      <c r="F9" s="5"/>
      <c r="G9" s="5"/>
      <c r="H9" s="5"/>
    </row>
    <row r="10" spans="1:13" ht="17.25" customHeight="1" x14ac:dyDescent="0.35">
      <c r="A10" s="65" t="str">
        <f>"1. Proposed FEHB Rates Before Loadings for January 1, "&amp;year&amp;""</f>
        <v>1. Proposed FEHB Rates Before Loadings for January 1, 2024</v>
      </c>
      <c r="B10" s="67"/>
      <c r="C10" s="67"/>
      <c r="D10" s="91"/>
      <c r="E10" s="5"/>
      <c r="F10" s="5"/>
      <c r="G10" s="5"/>
      <c r="H10" s="5"/>
    </row>
    <row r="11" spans="1:13" ht="18" customHeight="1" x14ac:dyDescent="0.35">
      <c r="A11" s="93" t="s">
        <v>96</v>
      </c>
      <c r="B11" s="67"/>
      <c r="C11" s="67"/>
      <c r="D11" s="91"/>
      <c r="E11" s="5"/>
      <c r="F11" s="5"/>
      <c r="G11" s="5"/>
      <c r="H11" s="5"/>
    </row>
    <row r="12" spans="1:13" ht="18" customHeight="1" x14ac:dyDescent="0.35">
      <c r="A12" s="93" t="s">
        <v>97</v>
      </c>
      <c r="B12" s="67"/>
      <c r="C12" s="67"/>
      <c r="D12" s="91"/>
      <c r="E12" s="5"/>
      <c r="H12" s="5"/>
    </row>
    <row r="13" spans="1:13" ht="18" customHeight="1" x14ac:dyDescent="0.35">
      <c r="A13" s="65" t="s">
        <v>7</v>
      </c>
      <c r="B13" s="67">
        <f>ROUND(SUM(B10,B11:B12),2)</f>
        <v>0</v>
      </c>
      <c r="C13" s="67">
        <f>ROUND(SUM(C10,C11:C12),2)</f>
        <v>0</v>
      </c>
      <c r="D13" s="91">
        <f>ROUND(SUM(D10,D11:D12),2)</f>
        <v>0</v>
      </c>
      <c r="E13" s="5"/>
      <c r="H13" s="5"/>
    </row>
    <row r="14" spans="1:13" ht="18" customHeight="1" x14ac:dyDescent="0.35">
      <c r="A14" s="94" t="s">
        <v>98</v>
      </c>
      <c r="B14" s="68"/>
      <c r="C14" s="68"/>
      <c r="D14" s="92"/>
    </row>
    <row r="15" spans="1:13" ht="18" customHeight="1" x14ac:dyDescent="0.35">
      <c r="A15" s="94" t="s">
        <v>99</v>
      </c>
      <c r="B15" s="67"/>
      <c r="C15" s="68"/>
      <c r="D15" s="92"/>
      <c r="F15" s="97" t="s">
        <v>100</v>
      </c>
      <c r="G15" s="98" t="s">
        <v>103</v>
      </c>
    </row>
    <row r="16" spans="1:13" ht="18" customHeight="1" x14ac:dyDescent="0.35">
      <c r="A16" s="65" t="s">
        <v>8</v>
      </c>
      <c r="B16" s="67">
        <f>ROUND(B13+B14+B15,2)</f>
        <v>0</v>
      </c>
      <c r="C16" s="67">
        <f>ROUND(C13+C14+C15,2)</f>
        <v>0</v>
      </c>
      <c r="D16" s="91">
        <f>ROUND(D13+D14+D15,2)</f>
        <v>0</v>
      </c>
      <c r="F16" s="99" t="s">
        <v>9</v>
      </c>
      <c r="G16" s="248">
        <v>0.09</v>
      </c>
    </row>
    <row r="17" spans="1:8" ht="18" customHeight="1" x14ac:dyDescent="0.35">
      <c r="A17" s="180" t="s">
        <v>10</v>
      </c>
      <c r="B17" s="68">
        <f>ROUND(B16*$G$16,2)</f>
        <v>0</v>
      </c>
      <c r="C17" s="68">
        <f>ROUND(C16*$G$16,2)</f>
        <v>0</v>
      </c>
      <c r="D17" s="92">
        <f>ROUND(D16*$G$16,2)</f>
        <v>0</v>
      </c>
    </row>
    <row r="18" spans="1:8" ht="18" customHeight="1" x14ac:dyDescent="0.35">
      <c r="A18" s="180" t="str">
        <f>"5a. Proposed "&amp;year&amp;" FEHB Rates Before Discount [(4c) + (4e)]"</f>
        <v>5a. Proposed 2024 FEHB Rates Before Discount [(4c) + (4e)]</v>
      </c>
      <c r="B18" s="68">
        <f>ROUND(B17+B16,2)</f>
        <v>0</v>
      </c>
      <c r="C18" s="68">
        <f>ROUND(C17+C16,2)</f>
        <v>0</v>
      </c>
      <c r="D18" s="92">
        <f>ROUND(D17+D16,2)</f>
        <v>0</v>
      </c>
    </row>
    <row r="19" spans="1:8" ht="18" customHeight="1" x14ac:dyDescent="0.35">
      <c r="A19" s="181" t="s">
        <v>101</v>
      </c>
      <c r="B19" s="68"/>
      <c r="C19" s="68"/>
      <c r="D19" s="92"/>
    </row>
    <row r="20" spans="1:8" ht="18" customHeight="1" x14ac:dyDescent="0.35">
      <c r="A20" s="181" t="s">
        <v>102</v>
      </c>
      <c r="B20" s="68"/>
      <c r="C20" s="68"/>
      <c r="D20" s="92"/>
    </row>
    <row r="21" spans="1:8" ht="18" customHeight="1" x14ac:dyDescent="0.35">
      <c r="A21" s="154" t="str">
        <f>"5c. Final Proposed "&amp;year&amp;" FEHB Rates [(5a) - (5bi) - (5bii)]"</f>
        <v>5c. Final Proposed 2024 FEHB Rates [(5a) - (5bi) - (5bii)]</v>
      </c>
      <c r="B21" s="67">
        <f>ROUND(B18-B19-B20,2)</f>
        <v>0</v>
      </c>
      <c r="C21" s="67">
        <f>ROUND(C18-C19-C20,2)</f>
        <v>0</v>
      </c>
      <c r="D21" s="91">
        <f>ROUND(D18-D19-D20,2)</f>
        <v>0</v>
      </c>
    </row>
    <row r="22" spans="1:8" ht="18" customHeight="1" x14ac:dyDescent="0.35"/>
    <row r="23" spans="1:8" ht="18" customHeight="1" x14ac:dyDescent="0.45">
      <c r="A23" s="198" t="str">
        <f>"Estimate of "&amp;year-1&amp;" Maximum Government Contribution"</f>
        <v>Estimate of 2023 Maximum Government Contribution</v>
      </c>
    </row>
    <row r="24" spans="1:8" ht="18" customHeight="1" x14ac:dyDescent="0.35">
      <c r="A24" s="7" t="s">
        <v>136</v>
      </c>
    </row>
    <row r="25" spans="1:8" ht="18" customHeight="1" thickBot="1" x14ac:dyDescent="0.4">
      <c r="A25" s="7" t="str">
        <f>"This chart shows the "&amp;year-1&amp;" Government Contribution for non-postal employees and annuitants."</f>
        <v>This chart shows the 2023 Government Contribution for non-postal employees and annuitants.</v>
      </c>
    </row>
    <row r="26" spans="1:8" ht="18" customHeight="1" thickBot="1" x14ac:dyDescent="0.4">
      <c r="A26" s="200" t="s">
        <v>100</v>
      </c>
      <c r="B26" s="8" t="s">
        <v>84</v>
      </c>
      <c r="C26" s="9" t="s">
        <v>85</v>
      </c>
      <c r="D26" s="85" t="s">
        <v>86</v>
      </c>
    </row>
    <row r="27" spans="1:8" ht="18" customHeight="1" x14ac:dyDescent="0.35">
      <c r="A27" s="10" t="str">
        <f>year-1&amp;" Maximum Government Contribution"</f>
        <v>2023 Maximum Government Contribution</v>
      </c>
      <c r="B27" s="20">
        <v>259.72000000000003</v>
      </c>
      <c r="C27" s="21">
        <v>560.52</v>
      </c>
      <c r="D27" s="86">
        <v>611.41999999999996</v>
      </c>
    </row>
    <row r="28" spans="1:8" ht="18" customHeight="1" x14ac:dyDescent="0.35">
      <c r="A28" s="29" t="str">
        <f>year-1&amp;" Net-to-Carrier Rates"</f>
        <v>2023 Net-to-Carrier Rates</v>
      </c>
      <c r="B28" s="14"/>
      <c r="C28" s="15"/>
      <c r="D28" s="87"/>
    </row>
    <row r="29" spans="1:8" ht="18" customHeight="1" x14ac:dyDescent="0.35">
      <c r="A29" s="29" t="str">
        <f>year-1&amp;" Gross Premium (Net-to-Carrier Rates * 1.04)"</f>
        <v>2023 Gross Premium (Net-to-Carrier Rates * 1.04)</v>
      </c>
      <c r="B29" s="11">
        <f>ROUND(B28*1.04,2)</f>
        <v>0</v>
      </c>
      <c r="C29" s="12">
        <f>ROUND(C28*1.04,2)</f>
        <v>0</v>
      </c>
      <c r="D29" s="88">
        <f>ROUND(D28*1.04,2)</f>
        <v>0</v>
      </c>
      <c r="F29" s="96"/>
      <c r="G29" s="96"/>
      <c r="H29" s="96"/>
    </row>
    <row r="30" spans="1:8" ht="18" customHeight="1" x14ac:dyDescent="0.35">
      <c r="A30" s="13" t="str">
        <f>year-1&amp;" Government Contribution"</f>
        <v>2023 Government Contribution</v>
      </c>
      <c r="B30" s="11" t="str">
        <f>IF(B29&gt;0,MIN(B27,ROUND(B29*0.75,2)),"New Option")</f>
        <v>New Option</v>
      </c>
      <c r="C30" s="12" t="str">
        <f>IF(C29&gt;0,MIN(C27,ROUND(C29*0.75,2)),"New Option")</f>
        <v>New Option</v>
      </c>
      <c r="D30" s="88" t="str">
        <f>IF(D29&gt;0,MIN(D27,ROUND(D29*0.75,2)),"New Option")</f>
        <v>New Option</v>
      </c>
    </row>
    <row r="31" spans="1:8" ht="18" customHeight="1" x14ac:dyDescent="0.35">
      <c r="A31" s="13" t="str">
        <f>year-1&amp;" Enrollee Contribuition"</f>
        <v>2023 Enrollee Contribuition</v>
      </c>
      <c r="B31" s="11" t="str">
        <f>IF(B29&gt;0, B29-B30,"New Option")</f>
        <v>New Option</v>
      </c>
      <c r="C31" s="12" t="str">
        <f>IF(C29&gt;0, C29-C30,"New Option")</f>
        <v>New Option</v>
      </c>
      <c r="D31" s="88" t="str">
        <f>IF(D29&gt;0, D29-D30,"New Option")</f>
        <v>New Option</v>
      </c>
    </row>
    <row r="32" spans="1:8" ht="18" customHeight="1" x14ac:dyDescent="0.35">
      <c r="A32" s="18"/>
      <c r="B32" s="18"/>
      <c r="C32" s="18"/>
      <c r="D32" s="18"/>
    </row>
    <row r="33" spans="1:4" ht="18" customHeight="1" x14ac:dyDescent="0.35">
      <c r="A33" s="199" t="s">
        <v>128</v>
      </c>
    </row>
    <row r="34" spans="1:4" ht="18" customHeight="1" x14ac:dyDescent="0.35">
      <c r="A34" s="19">
        <v>0</v>
      </c>
    </row>
    <row r="35" spans="1:4" ht="18" customHeight="1" x14ac:dyDescent="0.35">
      <c r="A35" s="22">
        <v>0.03</v>
      </c>
    </row>
    <row r="36" spans="1:4" ht="18" customHeight="1" x14ac:dyDescent="0.35">
      <c r="A36" s="22">
        <v>0.06</v>
      </c>
    </row>
    <row r="37" spans="1:4" ht="18" customHeight="1" x14ac:dyDescent="0.35">
      <c r="A37" s="22">
        <v>0.09</v>
      </c>
    </row>
    <row r="38" spans="1:4" ht="18" customHeight="1" x14ac:dyDescent="0.35"/>
    <row r="39" spans="1:4" ht="18" customHeight="1" thickBot="1" x14ac:dyDescent="0.4">
      <c r="A39" s="206" t="str">
        <f>"ESTIMATED "&amp;year&amp;" Maximum Government Contribution *"</f>
        <v>ESTIMATED 2024 Maximum Government Contribution *</v>
      </c>
      <c r="B39" s="207"/>
      <c r="C39" s="208"/>
      <c r="D39" s="208"/>
    </row>
    <row r="40" spans="1:4" ht="18" customHeight="1" thickBot="1" x14ac:dyDescent="0.4">
      <c r="A40" s="204" t="s">
        <v>129</v>
      </c>
      <c r="B40" s="8" t="s">
        <v>84</v>
      </c>
      <c r="C40" s="9" t="s">
        <v>85</v>
      </c>
      <c r="D40" s="205" t="s">
        <v>86</v>
      </c>
    </row>
    <row r="41" spans="1:4" ht="18" customHeight="1" x14ac:dyDescent="0.35">
      <c r="A41" s="10" t="str">
        <f>$A$34*100&amp;"% increase to "&amp;$A$30</f>
        <v>0% increase to 2023 Government Contribution</v>
      </c>
      <c r="B41" s="20">
        <f>ROUND($B$27*(1+A34),2)</f>
        <v>259.72000000000003</v>
      </c>
      <c r="C41" s="21">
        <f>ROUND($C$27*(1+A34),2)</f>
        <v>560.52</v>
      </c>
      <c r="D41" s="164">
        <f>ROUND($D$27*(1+A34),2)</f>
        <v>611.41999999999996</v>
      </c>
    </row>
    <row r="42" spans="1:4" ht="18" customHeight="1" x14ac:dyDescent="0.35">
      <c r="A42" s="13" t="str">
        <f>$A$35*100&amp;"% increase to "&amp;$A$30</f>
        <v>3% increase to 2023 Government Contribution</v>
      </c>
      <c r="B42" s="30">
        <f>ROUND($B$27*(1+A35),2)</f>
        <v>267.51</v>
      </c>
      <c r="C42" s="31">
        <f>ROUND($C$27*(1+A35),2)</f>
        <v>577.34</v>
      </c>
      <c r="D42" s="158">
        <f>ROUND($D$27*(1+A35),2)</f>
        <v>629.76</v>
      </c>
    </row>
    <row r="43" spans="1:4" ht="18" customHeight="1" x14ac:dyDescent="0.35">
      <c r="A43" s="13" t="str">
        <f>$A$36*100&amp;"% increase to "&amp;$A$30</f>
        <v>6% increase to 2023 Government Contribution</v>
      </c>
      <c r="B43" s="30">
        <f t="shared" ref="B43:B44" si="0">ROUND($B$27*(1+A36),2)</f>
        <v>275.3</v>
      </c>
      <c r="C43" s="12">
        <f>ROUND($C$27*(1+A36),2)</f>
        <v>594.15</v>
      </c>
      <c r="D43" s="159">
        <f>ROUND($D$27*(1+A36),2)</f>
        <v>648.11</v>
      </c>
    </row>
    <row r="44" spans="1:4" ht="18" customHeight="1" thickBot="1" x14ac:dyDescent="0.4">
      <c r="A44" s="16" t="str">
        <f>$A$37*100&amp;"% increase to "&amp;$A$30</f>
        <v>9% increase to 2023 Government Contribution</v>
      </c>
      <c r="B44" s="247">
        <f t="shared" si="0"/>
        <v>283.08999999999997</v>
      </c>
      <c r="C44" s="17">
        <f>ROUND($C$27*(1+A37),2)</f>
        <v>610.97</v>
      </c>
      <c r="D44" s="160">
        <f>ROUND($D$27*(1+A37),2)</f>
        <v>666.45</v>
      </c>
    </row>
    <row r="45" spans="1:4" ht="18" customHeight="1" thickBot="1" x14ac:dyDescent="0.4">
      <c r="A45" s="161" t="s">
        <v>88</v>
      </c>
      <c r="B45" s="162"/>
      <c r="C45" s="162"/>
      <c r="D45" s="163"/>
    </row>
    <row r="46" spans="1:4" ht="18" customHeight="1" x14ac:dyDescent="0.35">
      <c r="A46" s="7"/>
      <c r="B46" s="7"/>
      <c r="C46" s="7"/>
      <c r="D46" s="7"/>
    </row>
    <row r="47" spans="1:4" ht="18" customHeight="1" x14ac:dyDescent="0.35">
      <c r="A47" s="206" t="str">
        <f>year&amp;" Gross Premium"</f>
        <v>2024 Gross Premium</v>
      </c>
      <c r="B47" s="207"/>
      <c r="C47" s="208"/>
      <c r="D47" s="208"/>
    </row>
    <row r="48" spans="1:4" ht="18" customHeight="1" thickBot="1" x14ac:dyDescent="0.4">
      <c r="A48" s="209" t="s">
        <v>129</v>
      </c>
      <c r="B48" s="201" t="s">
        <v>84</v>
      </c>
      <c r="C48" s="202" t="s">
        <v>85</v>
      </c>
      <c r="D48" s="210" t="s">
        <v>86</v>
      </c>
    </row>
    <row r="49" spans="1:13" ht="18" customHeight="1" x14ac:dyDescent="0.35">
      <c r="A49" s="211" t="str">
        <f>$A$34*100&amp;"% increase to "&amp;$A$30</f>
        <v>0% increase to 2023 Government Contribution</v>
      </c>
      <c r="B49" s="11">
        <f>ROUND($B$21*1.04,2)</f>
        <v>0</v>
      </c>
      <c r="C49" s="12">
        <f>ROUND($C$21*1.04,2)</f>
        <v>0</v>
      </c>
      <c r="D49" s="89">
        <f>ROUND($D$21*1.04,2)</f>
        <v>0</v>
      </c>
    </row>
    <row r="50" spans="1:13" ht="18" customHeight="1" x14ac:dyDescent="0.35">
      <c r="A50" s="212" t="str">
        <f>$A$35*100&amp;"% increase to "&amp;$A$30</f>
        <v>3% increase to 2023 Government Contribution</v>
      </c>
      <c r="B50" s="11">
        <f>ROUND($B$21*1.04,2)</f>
        <v>0</v>
      </c>
      <c r="C50" s="12">
        <f>ROUND($C$21*1.04,2)</f>
        <v>0</v>
      </c>
      <c r="D50" s="89">
        <f>ROUND($D$21*1.04,2)</f>
        <v>0</v>
      </c>
    </row>
    <row r="51" spans="1:13" ht="15.75" customHeight="1" x14ac:dyDescent="0.35">
      <c r="A51" s="212" t="str">
        <f>$A$36*100&amp;"% increase to "&amp;$A$30</f>
        <v>6% increase to 2023 Government Contribution</v>
      </c>
      <c r="B51" s="11">
        <f>ROUND($B$21*1.04,2)</f>
        <v>0</v>
      </c>
      <c r="C51" s="12">
        <f>ROUND($C$21*1.04,2)</f>
        <v>0</v>
      </c>
      <c r="D51" s="89">
        <f>ROUND($D$21*1.04,2)</f>
        <v>0</v>
      </c>
    </row>
    <row r="52" spans="1:13" x14ac:dyDescent="0.35">
      <c r="A52" s="212" t="str">
        <f>$A$37*100&amp;"% increase to "&amp;$A$30</f>
        <v>9% increase to 2023 Government Contribution</v>
      </c>
      <c r="B52" s="11">
        <f>ROUND($B$21*1.04,2)</f>
        <v>0</v>
      </c>
      <c r="C52" s="12">
        <f>ROUND($C$21*1.04,2)</f>
        <v>0</v>
      </c>
      <c r="D52" s="89">
        <f>ROUND($D$21*1.04,2)</f>
        <v>0</v>
      </c>
    </row>
    <row r="53" spans="1:13" x14ac:dyDescent="0.35">
      <c r="A53" s="23"/>
      <c r="B53" s="23"/>
      <c r="C53" s="23"/>
      <c r="D53" s="18"/>
      <c r="E53" s="23"/>
    </row>
    <row r="54" spans="1:13" x14ac:dyDescent="0.35">
      <c r="A54" s="206" t="str">
        <f>year&amp;" Government Contribution"</f>
        <v>2024 Government Contribution</v>
      </c>
      <c r="B54" s="207"/>
      <c r="C54" s="208"/>
      <c r="D54" s="208"/>
    </row>
    <row r="55" spans="1:13" ht="15" thickBot="1" x14ac:dyDescent="0.4">
      <c r="A55" s="209" t="s">
        <v>129</v>
      </c>
      <c r="B55" s="203" t="s">
        <v>84</v>
      </c>
      <c r="C55" s="203" t="s">
        <v>85</v>
      </c>
      <c r="D55" s="213" t="s">
        <v>86</v>
      </c>
      <c r="I55" s="23"/>
      <c r="K55" s="23"/>
      <c r="L55" s="23"/>
      <c r="M55" s="23"/>
    </row>
    <row r="56" spans="1:13" x14ac:dyDescent="0.35">
      <c r="A56" s="211" t="str">
        <f>$A$34*100&amp;"% increase to "&amp;$A$30</f>
        <v>0% increase to 2023 Government Contribution</v>
      </c>
      <c r="B56" s="20">
        <f t="shared" ref="B56:D59" si="1">MIN(B41,ROUND(B49*0.75,2))</f>
        <v>0</v>
      </c>
      <c r="C56" s="21">
        <f t="shared" si="1"/>
        <v>0</v>
      </c>
      <c r="D56" s="89">
        <f t="shared" si="1"/>
        <v>0</v>
      </c>
    </row>
    <row r="57" spans="1:13" x14ac:dyDescent="0.35">
      <c r="A57" s="212" t="str">
        <f>$A$35*100&amp;"% increase to "&amp;$A$30</f>
        <v>3% increase to 2023 Government Contribution</v>
      </c>
      <c r="B57" s="11">
        <f t="shared" si="1"/>
        <v>0</v>
      </c>
      <c r="C57" s="12">
        <f t="shared" si="1"/>
        <v>0</v>
      </c>
      <c r="D57" s="89">
        <f t="shared" si="1"/>
        <v>0</v>
      </c>
    </row>
    <row r="58" spans="1:13" x14ac:dyDescent="0.35">
      <c r="A58" s="212" t="str">
        <f>$A$36*100&amp;"% increase to "&amp;$A$30</f>
        <v>6% increase to 2023 Government Contribution</v>
      </c>
      <c r="B58" s="11">
        <f t="shared" si="1"/>
        <v>0</v>
      </c>
      <c r="C58" s="12">
        <f t="shared" si="1"/>
        <v>0</v>
      </c>
      <c r="D58" s="89">
        <f t="shared" si="1"/>
        <v>0</v>
      </c>
    </row>
    <row r="59" spans="1:13" x14ac:dyDescent="0.35">
      <c r="A59" s="212" t="str">
        <f>$A$37*100&amp;"% increase to "&amp;$A$30</f>
        <v>9% increase to 2023 Government Contribution</v>
      </c>
      <c r="B59" s="11">
        <f t="shared" si="1"/>
        <v>0</v>
      </c>
      <c r="C59" s="12">
        <f t="shared" si="1"/>
        <v>0</v>
      </c>
      <c r="D59" s="89">
        <f t="shared" si="1"/>
        <v>0</v>
      </c>
    </row>
    <row r="60" spans="1:13" x14ac:dyDescent="0.35">
      <c r="A60" s="23"/>
      <c r="B60" s="23"/>
      <c r="C60" s="23"/>
      <c r="D60" s="7"/>
      <c r="E60" s="23"/>
    </row>
    <row r="61" spans="1:13" x14ac:dyDescent="0.35">
      <c r="A61" s="206" t="str">
        <f>year&amp;" Enrollee Contribution"</f>
        <v>2024 Enrollee Contribution</v>
      </c>
      <c r="B61" s="207"/>
      <c r="C61" s="208"/>
      <c r="D61" s="208"/>
    </row>
    <row r="62" spans="1:13" ht="15" thickBot="1" x14ac:dyDescent="0.4">
      <c r="A62" s="209" t="s">
        <v>129</v>
      </c>
      <c r="B62" s="203" t="s">
        <v>84</v>
      </c>
      <c r="C62" s="203" t="s">
        <v>85</v>
      </c>
      <c r="D62" s="213" t="s">
        <v>86</v>
      </c>
    </row>
    <row r="63" spans="1:13" x14ac:dyDescent="0.35">
      <c r="A63" s="211" t="str">
        <f>$A$34*100&amp;"% increase to "&amp;$A$30</f>
        <v>0% increase to 2023 Government Contribution</v>
      </c>
      <c r="B63" s="20">
        <f t="shared" ref="B63:D66" si="2">B49-B56</f>
        <v>0</v>
      </c>
      <c r="C63" s="21">
        <f t="shared" si="2"/>
        <v>0</v>
      </c>
      <c r="D63" s="89">
        <f t="shared" si="2"/>
        <v>0</v>
      </c>
    </row>
    <row r="64" spans="1:13" x14ac:dyDescent="0.35">
      <c r="A64" s="212" t="str">
        <f>$A$35*100&amp;"% increase to "&amp;$A$30</f>
        <v>3% increase to 2023 Government Contribution</v>
      </c>
      <c r="B64" s="11">
        <f t="shared" si="2"/>
        <v>0</v>
      </c>
      <c r="C64" s="12">
        <f t="shared" si="2"/>
        <v>0</v>
      </c>
      <c r="D64" s="89">
        <f t="shared" si="2"/>
        <v>0</v>
      </c>
    </row>
    <row r="65" spans="1:5" x14ac:dyDescent="0.35">
      <c r="A65" s="212" t="str">
        <f>$A$36*100&amp;"% increase to "&amp;$A$30</f>
        <v>6% increase to 2023 Government Contribution</v>
      </c>
      <c r="B65" s="11">
        <f t="shared" si="2"/>
        <v>0</v>
      </c>
      <c r="C65" s="12">
        <f t="shared" si="2"/>
        <v>0</v>
      </c>
      <c r="D65" s="89">
        <f t="shared" si="2"/>
        <v>0</v>
      </c>
    </row>
    <row r="66" spans="1:5" x14ac:dyDescent="0.35">
      <c r="A66" s="212" t="str">
        <f>$A$37*100&amp;"% increase to "&amp;$A$30</f>
        <v>9% increase to 2023 Government Contribution</v>
      </c>
      <c r="B66" s="11">
        <f t="shared" si="2"/>
        <v>0</v>
      </c>
      <c r="C66" s="12">
        <f t="shared" si="2"/>
        <v>0</v>
      </c>
      <c r="D66" s="89">
        <f t="shared" si="2"/>
        <v>0</v>
      </c>
    </row>
    <row r="67" spans="1:5" x14ac:dyDescent="0.35">
      <c r="A67" s="23"/>
      <c r="B67" s="23"/>
      <c r="C67" s="23"/>
      <c r="D67" s="7"/>
      <c r="E67" s="23"/>
    </row>
    <row r="68" spans="1:5" x14ac:dyDescent="0.35">
      <c r="A68" s="206" t="s">
        <v>87</v>
      </c>
      <c r="B68" s="207"/>
      <c r="C68" s="119"/>
      <c r="D68" s="208"/>
    </row>
    <row r="69" spans="1:5" ht="15" thickBot="1" x14ac:dyDescent="0.4">
      <c r="A69" s="209" t="s">
        <v>129</v>
      </c>
      <c r="B69" s="203" t="s">
        <v>84</v>
      </c>
      <c r="C69" s="203" t="s">
        <v>85</v>
      </c>
      <c r="D69" s="213" t="s">
        <v>86</v>
      </c>
    </row>
    <row r="70" spans="1:5" x14ac:dyDescent="0.35">
      <c r="A70" s="211" t="str">
        <f>$A$34*100&amp;"% increase to "&amp;$A$30</f>
        <v>0% increase to 2023 Government Contribution</v>
      </c>
      <c r="B70" s="24" t="str">
        <f t="shared" ref="B70:D73" si="3">IFERROR(B63/B$31-1,"New Option")</f>
        <v>New Option</v>
      </c>
      <c r="C70" s="25" t="str">
        <f t="shared" si="3"/>
        <v>New Option</v>
      </c>
      <c r="D70" s="214" t="str">
        <f t="shared" si="3"/>
        <v>New Option</v>
      </c>
    </row>
    <row r="71" spans="1:5" x14ac:dyDescent="0.35">
      <c r="A71" s="212" t="str">
        <f>$A$35*100&amp;"% increase to "&amp;$A$30</f>
        <v>3% increase to 2023 Government Contribution</v>
      </c>
      <c r="B71" s="26" t="str">
        <f t="shared" si="3"/>
        <v>New Option</v>
      </c>
      <c r="C71" s="27" t="str">
        <f t="shared" si="3"/>
        <v>New Option</v>
      </c>
      <c r="D71" s="214" t="str">
        <f t="shared" si="3"/>
        <v>New Option</v>
      </c>
    </row>
    <row r="72" spans="1:5" x14ac:dyDescent="0.35">
      <c r="A72" s="212" t="str">
        <f>$A$36*100&amp;"% increase to "&amp;$A$30</f>
        <v>6% increase to 2023 Government Contribution</v>
      </c>
      <c r="B72" s="26" t="str">
        <f t="shared" si="3"/>
        <v>New Option</v>
      </c>
      <c r="C72" s="27" t="str">
        <f t="shared" si="3"/>
        <v>New Option</v>
      </c>
      <c r="D72" s="214" t="str">
        <f t="shared" si="3"/>
        <v>New Option</v>
      </c>
    </row>
    <row r="73" spans="1:5" x14ac:dyDescent="0.35">
      <c r="A73" s="212" t="str">
        <f>$A$37*100&amp;"% increase to "&amp;$A$30</f>
        <v>9% increase to 2023 Government Contribution</v>
      </c>
      <c r="B73" s="26" t="str">
        <f t="shared" si="3"/>
        <v>New Option</v>
      </c>
      <c r="C73" s="27" t="str">
        <f t="shared" si="3"/>
        <v>New Option</v>
      </c>
      <c r="D73" s="214" t="str">
        <f t="shared" si="3"/>
        <v>New Option</v>
      </c>
    </row>
    <row r="74" spans="1:5" x14ac:dyDescent="0.35">
      <c r="A74" s="23"/>
      <c r="B74" s="23"/>
      <c r="C74" s="23"/>
      <c r="D74" s="23"/>
      <c r="E74" s="23"/>
    </row>
    <row r="75" spans="1:5" x14ac:dyDescent="0.35">
      <c r="A75" s="23"/>
      <c r="C75" s="23"/>
      <c r="D75" s="23"/>
      <c r="E75" s="23"/>
    </row>
    <row r="76" spans="1:5" x14ac:dyDescent="0.35">
      <c r="A76" s="23"/>
      <c r="C76" s="23"/>
      <c r="D76" s="23"/>
      <c r="E76" s="23"/>
    </row>
  </sheetData>
  <sheetProtection algorithmName="SHA-512" hashValue="nOQkcBNuS5et7/G9SMXJJV4iR/9LkwWGNI7ZdIQc03oKiMORYKd/C4vmMaiGk195cDvwkUiECjdRbLLtV2Wczg==" saltValue="nFodqkXbEQGg3hmgJEsrrw==" spinCount="100000" sheet="1" objects="1" scenarios="1"/>
  <protectedRanges>
    <protectedRange sqref="A34:A37" name="Range8"/>
    <protectedRange sqref="B28:D28" name="Range7"/>
    <protectedRange sqref="G16" name="Range6"/>
    <protectedRange sqref="B19:D20" name="Range5"/>
    <protectedRange sqref="B14:D15" name="Range4"/>
    <protectedRange sqref="B10:D12" name="Range3"/>
    <protectedRange sqref="B6:B7" name="Range2"/>
    <protectedRange sqref="B3:B4" name="Range1"/>
  </protectedRanges>
  <pageMargins left="0.7" right="0.7" top="0.75" bottom="0.75" header="0.3" footer="0.3"/>
  <pageSetup scale="85" fitToHeight="0" orientation="portrait" r:id="rId1"/>
  <tableParts count="8">
    <tablePart r:id="rId2"/>
    <tablePart r:id="rId3"/>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760BB-6BCD-4775-91D6-B94231ACAD50}">
  <dimension ref="A1:AQ193"/>
  <sheetViews>
    <sheetView zoomScaleNormal="100" workbookViewId="0">
      <selection activeCell="G8" sqref="G8"/>
    </sheetView>
  </sheetViews>
  <sheetFormatPr defaultRowHeight="14.5" x14ac:dyDescent="0.35"/>
  <cols>
    <col min="1" max="1" width="28.453125" customWidth="1"/>
    <col min="2" max="2" width="23" bestFit="1" customWidth="1"/>
    <col min="3" max="3" width="21" bestFit="1" customWidth="1"/>
    <col min="4" max="4" width="19.54296875" bestFit="1" customWidth="1"/>
    <col min="5" max="7" width="116.54296875" customWidth="1"/>
    <col min="8" max="9" width="41.7265625" customWidth="1"/>
    <col min="10" max="11" width="41.81640625" customWidth="1"/>
    <col min="12" max="12" width="28.1796875" customWidth="1"/>
    <col min="13" max="13" width="28.453125" customWidth="1"/>
    <col min="14" max="22" width="19.81640625" customWidth="1"/>
    <col min="23" max="23" width="30.7265625" customWidth="1"/>
    <col min="24" max="24" width="16.54296875" bestFit="1" customWidth="1"/>
    <col min="25" max="25" width="18" customWidth="1"/>
    <col min="26" max="26" width="16.54296875" customWidth="1"/>
    <col min="27" max="27" width="16.1796875" customWidth="1"/>
    <col min="28" max="28" width="17.26953125" bestFit="1" customWidth="1"/>
    <col min="29" max="29" width="17.7265625" bestFit="1" customWidth="1"/>
    <col min="30" max="30" width="17.26953125" bestFit="1" customWidth="1"/>
    <col min="31" max="31" width="16.54296875" bestFit="1" customWidth="1"/>
    <col min="32" max="32" width="15.453125" customWidth="1"/>
    <col min="33" max="34" width="18.26953125" bestFit="1" customWidth="1"/>
    <col min="35" max="35" width="15.54296875" customWidth="1"/>
    <col min="36" max="36" width="20.1796875" bestFit="1" customWidth="1"/>
    <col min="37" max="37" width="18.54296875" bestFit="1" customWidth="1"/>
    <col min="38" max="38" width="19.54296875" customWidth="1"/>
    <col min="39" max="39" width="22" bestFit="1" customWidth="1"/>
    <col min="40" max="40" width="18.54296875" bestFit="1" customWidth="1"/>
    <col min="41" max="41" width="17.81640625" bestFit="1" customWidth="1"/>
    <col min="42" max="42" width="22.453125" bestFit="1" customWidth="1"/>
    <col min="43" max="43" width="22.1796875" bestFit="1" customWidth="1"/>
  </cols>
  <sheetData>
    <row r="1" spans="1:43" ht="28.5" x14ac:dyDescent="0.35">
      <c r="A1" s="139" t="str">
        <f>"Attachment IIB QG21-QG24"</f>
        <v>Attachment IIB QG21-QG24</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row>
    <row r="2" spans="1:43" x14ac:dyDescent="0.35">
      <c r="A2" t="s">
        <v>112</v>
      </c>
    </row>
    <row r="3" spans="1:43" x14ac:dyDescent="0.35">
      <c r="A3" s="63" t="s">
        <v>1</v>
      </c>
      <c r="B3" s="1">
        <f>'Attachment II'!B3</f>
        <v>0</v>
      </c>
      <c r="I3" t="s">
        <v>121</v>
      </c>
    </row>
    <row r="4" spans="1:43" x14ac:dyDescent="0.35">
      <c r="A4" s="63" t="s">
        <v>76</v>
      </c>
      <c r="B4" s="178">
        <f>year</f>
        <v>2024</v>
      </c>
    </row>
    <row r="6" spans="1:43" ht="18.5" x14ac:dyDescent="0.45">
      <c r="A6" s="155" t="s">
        <v>119</v>
      </c>
    </row>
    <row r="7" spans="1:43" ht="15.5" x14ac:dyDescent="0.35">
      <c r="A7" s="196" t="s">
        <v>189</v>
      </c>
    </row>
    <row r="8" spans="1:43" ht="15.5" x14ac:dyDescent="0.35">
      <c r="A8" s="196" t="s">
        <v>190</v>
      </c>
    </row>
    <row r="9" spans="1:43" ht="15.5" x14ac:dyDescent="0.35">
      <c r="A9" s="196" t="s">
        <v>120</v>
      </c>
    </row>
    <row r="10" spans="1:43" x14ac:dyDescent="0.35">
      <c r="A10" s="157" t="s">
        <v>188</v>
      </c>
    </row>
    <row r="11" spans="1:43" ht="15.5" x14ac:dyDescent="0.35">
      <c r="A11" s="196" t="s">
        <v>191</v>
      </c>
    </row>
    <row r="12" spans="1:43" ht="15.5" x14ac:dyDescent="0.35">
      <c r="A12" s="196" t="s">
        <v>192</v>
      </c>
    </row>
    <row r="13" spans="1:43" ht="15.5" x14ac:dyDescent="0.35">
      <c r="A13" s="196" t="s">
        <v>229</v>
      </c>
    </row>
    <row r="14" spans="1:43" ht="15.5" x14ac:dyDescent="0.35">
      <c r="A14" s="196" t="s">
        <v>134</v>
      </c>
    </row>
    <row r="15" spans="1:43" ht="19" thickBot="1" x14ac:dyDescent="0.5">
      <c r="A15" s="155" t="s">
        <v>122</v>
      </c>
    </row>
    <row r="16" spans="1:43" s="33" customFormat="1" ht="114" customHeight="1" thickBot="1" x14ac:dyDescent="0.4">
      <c r="A16" s="219" t="s">
        <v>91</v>
      </c>
      <c r="B16" s="220" t="s">
        <v>114</v>
      </c>
      <c r="C16" s="221" t="s">
        <v>90</v>
      </c>
      <c r="D16" s="222" t="s">
        <v>93</v>
      </c>
      <c r="E16" s="249" t="s">
        <v>193</v>
      </c>
      <c r="F16" s="250" t="s">
        <v>230</v>
      </c>
      <c r="G16" s="251" t="s">
        <v>231</v>
      </c>
      <c r="H16" s="230" t="s">
        <v>194</v>
      </c>
      <c r="I16" s="231" t="s">
        <v>195</v>
      </c>
      <c r="J16" s="231" t="s">
        <v>183</v>
      </c>
      <c r="K16" s="232" t="s">
        <v>196</v>
      </c>
      <c r="L16" s="230" t="s">
        <v>197</v>
      </c>
      <c r="M16" s="231" t="s">
        <v>198</v>
      </c>
      <c r="N16" s="231" t="s">
        <v>199</v>
      </c>
      <c r="O16" s="231" t="s">
        <v>200</v>
      </c>
      <c r="P16" s="231" t="s">
        <v>201</v>
      </c>
      <c r="Q16" s="231" t="s">
        <v>202</v>
      </c>
      <c r="R16" s="231" t="s">
        <v>203</v>
      </c>
      <c r="S16" s="231" t="s">
        <v>204</v>
      </c>
      <c r="T16" s="231" t="s">
        <v>205</v>
      </c>
      <c r="U16" s="231" t="s">
        <v>206</v>
      </c>
      <c r="V16" s="231" t="s">
        <v>207</v>
      </c>
      <c r="W16" s="232" t="s">
        <v>208</v>
      </c>
      <c r="X16" s="230" t="s">
        <v>209</v>
      </c>
      <c r="Y16" s="231" t="s">
        <v>210</v>
      </c>
      <c r="Z16" s="231" t="s">
        <v>211</v>
      </c>
      <c r="AA16" s="231" t="s">
        <v>212</v>
      </c>
      <c r="AB16" s="231" t="s">
        <v>213</v>
      </c>
      <c r="AC16" s="233" t="s">
        <v>214</v>
      </c>
      <c r="AD16" s="231" t="s">
        <v>215</v>
      </c>
      <c r="AE16" s="234" t="s">
        <v>216</v>
      </c>
      <c r="AF16" s="231" t="s">
        <v>217</v>
      </c>
      <c r="AG16" s="231" t="s">
        <v>218</v>
      </c>
      <c r="AH16" s="231" t="s">
        <v>219</v>
      </c>
      <c r="AI16" s="233" t="s">
        <v>220</v>
      </c>
      <c r="AJ16" s="231" t="s">
        <v>221</v>
      </c>
      <c r="AK16" s="234" t="s">
        <v>222</v>
      </c>
      <c r="AL16" s="233" t="s">
        <v>223</v>
      </c>
      <c r="AM16" s="231" t="s">
        <v>224</v>
      </c>
      <c r="AN16" s="234" t="s">
        <v>225</v>
      </c>
      <c r="AO16" s="231" t="s">
        <v>226</v>
      </c>
      <c r="AP16" s="231" t="s">
        <v>227</v>
      </c>
      <c r="AQ16" s="232" t="s">
        <v>228</v>
      </c>
    </row>
    <row r="17" spans="1:43" ht="16.5" customHeight="1" x14ac:dyDescent="0.3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x14ac:dyDescent="0.3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x14ac:dyDescent="0.3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x14ac:dyDescent="0.3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x14ac:dyDescent="0.3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x14ac:dyDescent="0.3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x14ac:dyDescent="0.3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x14ac:dyDescent="0.3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x14ac:dyDescent="0.3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x14ac:dyDescent="0.3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x14ac:dyDescent="0.3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x14ac:dyDescent="0.3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x14ac:dyDescent="0.3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x14ac:dyDescent="0.3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x14ac:dyDescent="0.3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x14ac:dyDescent="0.3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x14ac:dyDescent="0.3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x14ac:dyDescent="0.3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x14ac:dyDescent="0.3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x14ac:dyDescent="0.3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x14ac:dyDescent="0.3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x14ac:dyDescent="0.3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x14ac:dyDescent="0.3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x14ac:dyDescent="0.3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x14ac:dyDescent="0.3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x14ac:dyDescent="0.3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x14ac:dyDescent="0.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x14ac:dyDescent="0.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x14ac:dyDescent="0.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x14ac:dyDescent="0.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x14ac:dyDescent="0.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x14ac:dyDescent="0.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x14ac:dyDescent="0.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x14ac:dyDescent="0.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x14ac:dyDescent="0.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1:43" x14ac:dyDescent="0.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1:43"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1:43"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1:43" x14ac:dyDescent="0.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row>
    <row r="84" spans="1:43" x14ac:dyDescent="0.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row>
    <row r="85" spans="1:43" x14ac:dyDescent="0.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1:43"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row>
    <row r="87" spans="1:43"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row>
    <row r="88" spans="1:43"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row>
    <row r="89" spans="1:43"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row>
    <row r="90" spans="1:43"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row>
    <row r="91" spans="1:43"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row>
    <row r="92" spans="1:43"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row>
    <row r="93" spans="1:43"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row>
    <row r="94" spans="1:43" x14ac:dyDescent="0.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row>
    <row r="95" spans="1:43" x14ac:dyDescent="0.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row>
    <row r="96" spans="1:43" x14ac:dyDescent="0.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row>
    <row r="97" spans="1:43" x14ac:dyDescent="0.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row>
    <row r="98" spans="1:43"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row>
    <row r="99" spans="1:43"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row>
    <row r="100" spans="1:43"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row>
    <row r="101" spans="1:43"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row>
    <row r="102" spans="1:43"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row>
    <row r="103" spans="1:43"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row>
    <row r="104" spans="1:43"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row>
    <row r="105" spans="1:43"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row>
    <row r="106" spans="1:43"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row>
    <row r="107" spans="1:43"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row>
    <row r="108" spans="1:43"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row>
    <row r="109" spans="1:43"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row>
    <row r="110" spans="1:43"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row>
    <row r="111" spans="1:43"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row>
    <row r="112" spans="1:43"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row>
    <row r="113" spans="1:43"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row>
    <row r="114" spans="1:43"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row>
    <row r="115" spans="1:43"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row>
    <row r="116" spans="1:43"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row>
    <row r="117" spans="1:43"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row>
    <row r="118" spans="1:43"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row>
    <row r="119" spans="1:43"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row>
    <row r="120" spans="1:43"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row>
    <row r="121" spans="1:43"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row>
    <row r="122" spans="1:43"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row>
    <row r="123" spans="1:43"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row>
    <row r="124" spans="1:43"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row>
    <row r="125" spans="1:43"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row>
    <row r="126" spans="1:43"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row>
    <row r="127" spans="1:43"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row>
    <row r="128" spans="1:43"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row>
    <row r="129" spans="1:43"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row>
    <row r="130" spans="1:43"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row>
    <row r="131" spans="1:43"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row>
    <row r="132" spans="1:43"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row>
    <row r="133" spans="1:43"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row>
    <row r="134" spans="1:43"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row>
    <row r="135" spans="1:43"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row>
    <row r="136" spans="1:43"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row>
    <row r="137" spans="1:43"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row>
    <row r="138" spans="1:43"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row>
    <row r="139" spans="1:43"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row>
    <row r="140" spans="1:43"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row>
    <row r="141" spans="1:43"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row>
    <row r="142" spans="1:43"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row>
    <row r="143" spans="1:43"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row>
    <row r="144" spans="1:43"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row>
    <row r="145" spans="1:43"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row>
    <row r="146" spans="1:43"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row>
    <row r="147" spans="1:43"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row>
    <row r="148" spans="1:43"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row>
    <row r="149" spans="1:43"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row>
    <row r="150" spans="1:43"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row>
    <row r="151" spans="1:43"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row>
    <row r="152" spans="1:43"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row>
    <row r="153" spans="1:43"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row>
    <row r="154" spans="1:43"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row>
    <row r="155" spans="1:43"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row>
    <row r="156" spans="1:43"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row>
    <row r="157" spans="1:43"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row>
    <row r="158" spans="1:43"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row>
    <row r="159" spans="1:43"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row>
    <row r="160" spans="1:43"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row>
    <row r="161" spans="1:43"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row>
    <row r="162" spans="1:43"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row>
    <row r="163" spans="1:43"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row>
    <row r="164" spans="1:43"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row>
    <row r="165" spans="1:43"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row>
    <row r="166" spans="1:43"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row>
    <row r="167" spans="1:43"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row>
    <row r="168" spans="1:43"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row>
    <row r="169" spans="1:43"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row>
    <row r="170" spans="1:43"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row>
    <row r="171" spans="1:43"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row>
    <row r="172" spans="1:43"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row>
    <row r="173" spans="1:43"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row>
    <row r="174" spans="1:43"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row>
    <row r="175" spans="1:43"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row>
    <row r="176" spans="1:43"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row>
    <row r="177" spans="1:43"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row>
    <row r="178" spans="1:43"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row>
    <row r="179" spans="1:43"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row>
    <row r="180" spans="1:43"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row>
    <row r="181" spans="1:43"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row>
    <row r="182" spans="1:43"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row>
    <row r="183" spans="1:43"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row>
    <row r="184" spans="1:43"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row>
    <row r="185" spans="1:43"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row>
    <row r="186" spans="1:43"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row>
    <row r="187" spans="1:43"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row>
    <row r="188" spans="1:43"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row>
    <row r="189" spans="1:43"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row>
    <row r="190" spans="1:43"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row>
    <row r="191" spans="1:43"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row>
    <row r="192" spans="1:43"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row>
    <row r="193" spans="1:43"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row>
  </sheetData>
  <sheetProtection algorithmName="SHA-512" hashValue="wb8US1F1XC0+9KexAoQI4SgRvJOM1opqVxX5T3DUxWus03jmME98YutV/7ygNOxthzCpP/ik7UZpAZ9ta8rE2w==" saltValue="wRElmq35Y2iP4GoCfaSdfg==" spinCount="100000" sheet="1" objects="1" scenarios="1"/>
  <protectedRanges>
    <protectedRange sqref="J3:K15" name="Range3"/>
  </protectedRanges>
  <hyperlinks>
    <hyperlink ref="A10" r:id="rId1" display="** CMS 2022 Actuarial Value Calculator can be found here: http://www.cms.gov/cciio/resources/regulations-and-guidance/index.html   " xr:uid="{21C8D313-8C09-4079-9846-13E2B7B132F3}"/>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
  <sheetViews>
    <sheetView showGridLines="0" zoomScaleNormal="100" workbookViewId="0">
      <selection activeCell="A3" sqref="A3"/>
    </sheetView>
  </sheetViews>
  <sheetFormatPr defaultRowHeight="14.5" x14ac:dyDescent="0.35"/>
  <cols>
    <col min="1" max="1" width="50.7265625" customWidth="1"/>
    <col min="2" max="2" width="20.81640625" customWidth="1"/>
  </cols>
  <sheetData>
    <row r="1" spans="1:4" ht="28.5" x14ac:dyDescent="0.35">
      <c r="A1" s="167" t="s">
        <v>79</v>
      </c>
      <c r="B1" s="168"/>
      <c r="C1" s="168"/>
      <c r="D1" s="168"/>
    </row>
    <row r="2" spans="1:4" s="2" customFormat="1" ht="15.5" x14ac:dyDescent="0.35">
      <c r="A2" s="165" t="s">
        <v>138</v>
      </c>
    </row>
    <row r="3" spans="1:4" ht="18" customHeight="1" x14ac:dyDescent="0.35">
      <c r="A3" s="182" t="s">
        <v>11</v>
      </c>
      <c r="B3" s="183"/>
    </row>
    <row r="4" spans="1:4" ht="18" customHeight="1" x14ac:dyDescent="0.35">
      <c r="A4" s="182" t="s">
        <v>12</v>
      </c>
      <c r="B4" s="184"/>
    </row>
    <row r="5" spans="1:4" ht="18" customHeight="1" x14ac:dyDescent="0.35">
      <c r="A5" s="182" t="s">
        <v>71</v>
      </c>
      <c r="B5" s="183"/>
    </row>
    <row r="6" spans="1:4" ht="18" customHeight="1" x14ac:dyDescent="0.35">
      <c r="A6" s="182" t="s">
        <v>13</v>
      </c>
      <c r="B6" s="185"/>
    </row>
    <row r="7" spans="1:4" ht="18" customHeight="1" x14ac:dyDescent="0.35">
      <c r="A7" s="182" t="s">
        <v>14</v>
      </c>
      <c r="B7" s="185"/>
    </row>
    <row r="8" spans="1:4" ht="18" customHeight="1" x14ac:dyDescent="0.35">
      <c r="A8" s="182" t="s">
        <v>15</v>
      </c>
      <c r="B8" s="185"/>
    </row>
    <row r="9" spans="1:4" ht="18" customHeight="1" x14ac:dyDescent="0.35">
      <c r="A9" s="182" t="s">
        <v>16</v>
      </c>
      <c r="B9" s="184"/>
    </row>
    <row r="10" spans="1:4" ht="18" customHeight="1" x14ac:dyDescent="0.35">
      <c r="A10" s="182" t="s">
        <v>17</v>
      </c>
      <c r="B10" s="184"/>
    </row>
    <row r="11" spans="1:4" ht="18" customHeight="1" x14ac:dyDescent="0.35">
      <c r="A11" s="182" t="s">
        <v>18</v>
      </c>
      <c r="B11" s="184"/>
    </row>
    <row r="12" spans="1:4" ht="18" customHeight="1" x14ac:dyDescent="0.35">
      <c r="A12" s="182" t="s">
        <v>19</v>
      </c>
      <c r="B12" s="184"/>
    </row>
    <row r="13" spans="1:4" ht="18" customHeight="1" x14ac:dyDescent="0.35">
      <c r="A13" s="182" t="s">
        <v>20</v>
      </c>
      <c r="B13" s="183"/>
    </row>
    <row r="14" spans="1:4" ht="18" customHeight="1" x14ac:dyDescent="0.35">
      <c r="A14" s="182" t="s">
        <v>21</v>
      </c>
      <c r="B14" s="183"/>
    </row>
    <row r="15" spans="1:4" x14ac:dyDescent="0.35">
      <c r="A15" s="186" t="s">
        <v>22</v>
      </c>
      <c r="B15" s="18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showGridLines="0" zoomScaleNormal="100" workbookViewId="0">
      <selection activeCell="A2" sqref="A2"/>
    </sheetView>
  </sheetViews>
  <sheetFormatPr defaultRowHeight="14.5" x14ac:dyDescent="0.35"/>
  <cols>
    <col min="1" max="1" width="40.453125" customWidth="1"/>
    <col min="2" max="2" width="14.54296875" customWidth="1"/>
  </cols>
  <sheetData>
    <row r="1" spans="1:4" ht="28.5" x14ac:dyDescent="0.35">
      <c r="A1" s="167" t="s">
        <v>80</v>
      </c>
      <c r="B1" s="60"/>
      <c r="C1" s="60"/>
      <c r="D1" s="60"/>
    </row>
    <row r="2" spans="1:4" ht="15.5" x14ac:dyDescent="0.35">
      <c r="A2" s="165" t="s">
        <v>138</v>
      </c>
    </row>
    <row r="3" spans="1:4" ht="18" customHeight="1" x14ac:dyDescent="0.35">
      <c r="A3" s="188" t="s">
        <v>23</v>
      </c>
      <c r="B3" s="189"/>
    </row>
    <row r="4" spans="1:4" ht="18" customHeight="1" x14ac:dyDescent="0.35">
      <c r="A4" s="188" t="s">
        <v>24</v>
      </c>
      <c r="B4" s="190"/>
    </row>
    <row r="5" spans="1:4" ht="18" customHeight="1" x14ac:dyDescent="0.35">
      <c r="A5" s="188" t="s">
        <v>25</v>
      </c>
      <c r="B5" s="190"/>
    </row>
    <row r="6" spans="1:4" ht="18" customHeight="1" x14ac:dyDescent="0.35">
      <c r="A6" s="188" t="s">
        <v>26</v>
      </c>
      <c r="B6" s="191"/>
    </row>
    <row r="7" spans="1:4" ht="18" customHeight="1" x14ac:dyDescent="0.35">
      <c r="A7" s="188" t="s">
        <v>27</v>
      </c>
      <c r="B7" s="191"/>
    </row>
    <row r="8" spans="1:4" ht="18" customHeight="1" x14ac:dyDescent="0.35">
      <c r="A8" s="188" t="s">
        <v>28</v>
      </c>
      <c r="B8" s="190"/>
    </row>
    <row r="9" spans="1:4" ht="18" customHeight="1" x14ac:dyDescent="0.35">
      <c r="A9" s="188" t="s">
        <v>29</v>
      </c>
      <c r="B9" s="190"/>
    </row>
    <row r="10" spans="1:4" ht="18" customHeight="1" x14ac:dyDescent="0.35">
      <c r="A10" s="188" t="s">
        <v>30</v>
      </c>
      <c r="B10" s="190"/>
    </row>
    <row r="11" spans="1:4" ht="18" customHeight="1" x14ac:dyDescent="0.35">
      <c r="A11" s="188" t="s">
        <v>31</v>
      </c>
      <c r="B11" s="192"/>
    </row>
    <row r="12" spans="1:4" ht="18" customHeight="1" x14ac:dyDescent="0.35">
      <c r="A12" s="188" t="s">
        <v>32</v>
      </c>
      <c r="B12" s="190"/>
    </row>
    <row r="13" spans="1:4" ht="18" customHeight="1" x14ac:dyDescent="0.35">
      <c r="A13" s="188" t="s">
        <v>13</v>
      </c>
      <c r="B13" s="191"/>
    </row>
    <row r="14" spans="1:4" ht="18" customHeight="1" x14ac:dyDescent="0.35">
      <c r="A14" s="188" t="s">
        <v>14</v>
      </c>
      <c r="B14" s="191"/>
    </row>
    <row r="15" spans="1:4" ht="18" customHeight="1" x14ac:dyDescent="0.35">
      <c r="A15" s="188" t="s">
        <v>15</v>
      </c>
      <c r="B15" s="191"/>
    </row>
    <row r="16" spans="1:4" ht="18" customHeight="1" x14ac:dyDescent="0.35">
      <c r="A16" s="188" t="s">
        <v>16</v>
      </c>
      <c r="B16" s="193"/>
    </row>
    <row r="17" spans="1:2" ht="18" customHeight="1" x14ac:dyDescent="0.35">
      <c r="A17" s="188" t="s">
        <v>17</v>
      </c>
      <c r="B17" s="193"/>
    </row>
    <row r="18" spans="1:2" ht="18" customHeight="1" x14ac:dyDescent="0.35">
      <c r="A18" s="188" t="s">
        <v>18</v>
      </c>
      <c r="B18" s="193"/>
    </row>
    <row r="19" spans="1:2" ht="18" customHeight="1" x14ac:dyDescent="0.35">
      <c r="A19" s="188" t="s">
        <v>19</v>
      </c>
      <c r="B19" s="193"/>
    </row>
    <row r="20" spans="1:2" ht="18" customHeight="1" x14ac:dyDescent="0.35">
      <c r="A20" s="188" t="s">
        <v>20</v>
      </c>
      <c r="B20" s="190"/>
    </row>
    <row r="21" spans="1:2" ht="18" customHeight="1" x14ac:dyDescent="0.35">
      <c r="A21" s="188" t="s">
        <v>21</v>
      </c>
      <c r="B21" s="190"/>
    </row>
    <row r="22" spans="1:2" x14ac:dyDescent="0.35">
      <c r="A22" s="194" t="s">
        <v>22</v>
      </c>
      <c r="B22" s="19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9"/>
  <sheetViews>
    <sheetView showGridLines="0" zoomScale="90" zoomScaleNormal="90" workbookViewId="0">
      <selection activeCell="E38" sqref="E38"/>
    </sheetView>
  </sheetViews>
  <sheetFormatPr defaultRowHeight="14.5" x14ac:dyDescent="0.35"/>
  <cols>
    <col min="1" max="1" width="25.26953125" customWidth="1"/>
    <col min="2" max="2" width="14.26953125" customWidth="1"/>
    <col min="3" max="3" width="20.1796875" customWidth="1"/>
    <col min="4" max="4" width="19.1796875" customWidth="1"/>
    <col min="5" max="5" width="21.7265625" customWidth="1"/>
    <col min="6" max="6" width="26.453125" customWidth="1"/>
    <col min="8" max="8" width="10.7265625" customWidth="1"/>
  </cols>
  <sheetData>
    <row r="1" spans="1:6" ht="28.5" x14ac:dyDescent="0.35">
      <c r="A1" s="169" t="s">
        <v>82</v>
      </c>
      <c r="B1" s="57"/>
      <c r="C1" s="171"/>
      <c r="D1" s="171"/>
      <c r="E1" s="171"/>
      <c r="F1" s="171"/>
    </row>
    <row r="2" spans="1:6" ht="18" customHeight="1" x14ac:dyDescent="0.35">
      <c r="A2" s="165" t="s">
        <v>73</v>
      </c>
    </row>
    <row r="3" spans="1:6" ht="29" x14ac:dyDescent="0.35">
      <c r="A3" s="100" t="s">
        <v>48</v>
      </c>
      <c r="B3" s="55" t="s">
        <v>104</v>
      </c>
      <c r="C3" s="55" t="s">
        <v>105</v>
      </c>
      <c r="D3" s="55" t="s">
        <v>106</v>
      </c>
      <c r="E3" s="55" t="s">
        <v>107</v>
      </c>
      <c r="F3" s="101" t="s">
        <v>108</v>
      </c>
    </row>
    <row r="4" spans="1:6" ht="18" customHeight="1" x14ac:dyDescent="0.35">
      <c r="A4" s="48" t="s">
        <v>49</v>
      </c>
      <c r="B4" s="102"/>
      <c r="C4" s="103"/>
      <c r="D4" s="103"/>
      <c r="E4" s="103"/>
      <c r="F4" s="78">
        <f>ROUND(B4*(C4-D4-E4),2)</f>
        <v>0</v>
      </c>
    </row>
    <row r="5" spans="1:6" ht="18" customHeight="1" x14ac:dyDescent="0.35">
      <c r="A5" s="48" t="s">
        <v>50</v>
      </c>
      <c r="B5" s="102"/>
      <c r="C5" s="103"/>
      <c r="D5" s="103"/>
      <c r="E5" s="103"/>
      <c r="F5" s="78">
        <f>ROUND(B5*(C5-D5-E5),2)</f>
        <v>0</v>
      </c>
    </row>
    <row r="6" spans="1:6" ht="18" customHeight="1" x14ac:dyDescent="0.35">
      <c r="A6" s="48" t="s">
        <v>51</v>
      </c>
      <c r="B6" s="102"/>
      <c r="C6" s="103"/>
      <c r="D6" s="103"/>
      <c r="E6" s="103"/>
      <c r="F6" s="78">
        <f>ROUND(B6*(C6-D6-E6),2)</f>
        <v>0</v>
      </c>
    </row>
    <row r="7" spans="1:6" ht="18" customHeight="1" x14ac:dyDescent="0.35">
      <c r="A7" s="48" t="s">
        <v>52</v>
      </c>
      <c r="B7" s="102"/>
      <c r="C7" s="103"/>
      <c r="D7" s="103"/>
      <c r="E7" s="103"/>
      <c r="F7" s="78">
        <f>ROUND(B7*(C7-D7-E7),2)</f>
        <v>0</v>
      </c>
    </row>
    <row r="8" spans="1:6" ht="18" customHeight="1" x14ac:dyDescent="0.35">
      <c r="A8" s="100" t="s">
        <v>109</v>
      </c>
      <c r="B8" s="104">
        <f>SUBTOTAL(109,Attach2AMedicareLoading[(A)
Count])</f>
        <v>0</v>
      </c>
      <c r="C8" s="55"/>
      <c r="D8" s="55"/>
      <c r="E8" s="100" t="s">
        <v>110</v>
      </c>
      <c r="F8" s="105">
        <f>ROUND(SUM(F4:F7),2)</f>
        <v>0</v>
      </c>
    </row>
    <row r="9" spans="1:6" ht="18" customHeight="1" x14ac:dyDescent="0.35">
      <c r="F9" s="106"/>
    </row>
    <row r="10" spans="1:6" ht="18" customHeight="1" x14ac:dyDescent="0.35">
      <c r="A10" s="174" t="s">
        <v>53</v>
      </c>
      <c r="B10" s="102"/>
    </row>
    <row r="11" spans="1:6" ht="18" customHeight="1" x14ac:dyDescent="0.35">
      <c r="A11" s="107" t="s">
        <v>54</v>
      </c>
      <c r="B11" s="103" t="e">
        <f>ROUND(Attach2AMedicareLoading[[#Totals],[Plan Cost
A*(B-C-D)]]/B10,2)</f>
        <v>#DIV/0!</v>
      </c>
    </row>
    <row r="12" spans="1:6" ht="18" customHeight="1" x14ac:dyDescent="0.35">
      <c r="A12" s="107" t="s">
        <v>55</v>
      </c>
      <c r="B12" s="103"/>
    </row>
    <row r="13" spans="1:6" ht="18" customHeight="1" x14ac:dyDescent="0.35">
      <c r="A13" s="107" t="s">
        <v>56</v>
      </c>
      <c r="B13" s="103"/>
    </row>
    <row r="14" spans="1:6" ht="18" customHeight="1" x14ac:dyDescent="0.35">
      <c r="A14" s="107" t="s">
        <v>57</v>
      </c>
      <c r="B14" s="103"/>
    </row>
    <row r="16" spans="1:6" x14ac:dyDescent="0.35">
      <c r="A16" t="s">
        <v>74</v>
      </c>
    </row>
    <row r="18" spans="1:6" ht="18.75" customHeight="1" x14ac:dyDescent="0.35">
      <c r="A18" s="173" t="s">
        <v>75</v>
      </c>
      <c r="B18" s="52"/>
      <c r="C18" s="52"/>
      <c r="D18" s="52"/>
      <c r="E18" s="52"/>
      <c r="F18" s="53"/>
    </row>
    <row r="19" spans="1:6" ht="18" customHeight="1" x14ac:dyDescent="0.35">
      <c r="A19" s="172"/>
      <c r="B19" s="1"/>
      <c r="C19" s="1"/>
      <c r="D19" s="1"/>
      <c r="E19" s="1"/>
      <c r="F19" s="75"/>
    </row>
    <row r="20" spans="1:6" ht="18" customHeight="1" x14ac:dyDescent="0.35">
      <c r="A20" s="54"/>
      <c r="B20" s="1"/>
      <c r="C20" s="1"/>
      <c r="D20" s="1"/>
      <c r="E20" s="1"/>
      <c r="F20" s="75"/>
    </row>
    <row r="21" spans="1:6" ht="18" customHeight="1" x14ac:dyDescent="0.35">
      <c r="A21" s="54"/>
      <c r="B21" s="1"/>
      <c r="C21" s="1"/>
      <c r="D21" s="1"/>
      <c r="E21" s="1"/>
      <c r="F21" s="75"/>
    </row>
    <row r="22" spans="1:6" ht="18" customHeight="1" x14ac:dyDescent="0.35">
      <c r="A22" s="54"/>
      <c r="B22" s="1"/>
      <c r="C22" s="1"/>
      <c r="D22" s="1"/>
      <c r="E22" s="1"/>
      <c r="F22" s="75"/>
    </row>
    <row r="23" spans="1:6" ht="18" customHeight="1" x14ac:dyDescent="0.35">
      <c r="A23" s="54"/>
      <c r="B23" s="1"/>
      <c r="C23" s="1"/>
      <c r="D23" s="1"/>
      <c r="E23" s="1"/>
      <c r="F23" s="75"/>
    </row>
    <row r="24" spans="1:6" ht="18" customHeight="1" x14ac:dyDescent="0.35">
      <c r="A24" s="54"/>
      <c r="B24" s="1"/>
      <c r="C24" s="1"/>
      <c r="D24" s="1"/>
      <c r="E24" s="1"/>
      <c r="F24" s="75"/>
    </row>
    <row r="25" spans="1:6" ht="18" customHeight="1" x14ac:dyDescent="0.35">
      <c r="A25" s="54"/>
      <c r="B25" s="1"/>
      <c r="C25" s="1"/>
      <c r="D25" s="1"/>
      <c r="E25" s="1"/>
      <c r="F25" s="75"/>
    </row>
    <row r="26" spans="1:6" ht="18" customHeight="1" x14ac:dyDescent="0.35">
      <c r="A26" s="54"/>
      <c r="B26" s="1"/>
      <c r="C26" s="1"/>
      <c r="D26" s="1"/>
      <c r="E26" s="1"/>
      <c r="F26" s="75"/>
    </row>
    <row r="27" spans="1:6" ht="18" customHeight="1" x14ac:dyDescent="0.35">
      <c r="A27" s="54"/>
      <c r="B27" s="1"/>
      <c r="C27" s="1"/>
      <c r="D27" s="1"/>
      <c r="E27" s="1"/>
      <c r="F27" s="75"/>
    </row>
    <row r="28" spans="1:6" ht="18" customHeight="1" x14ac:dyDescent="0.35">
      <c r="A28" s="54"/>
      <c r="B28" s="1"/>
      <c r="C28" s="1"/>
      <c r="D28" s="1"/>
      <c r="E28" s="1"/>
      <c r="F28" s="75"/>
    </row>
    <row r="29" spans="1:6" x14ac:dyDescent="0.35">
      <c r="A29" s="76"/>
      <c r="B29" s="77"/>
      <c r="C29" s="77"/>
      <c r="D29" s="77"/>
      <c r="E29" s="77"/>
      <c r="F29" s="74"/>
    </row>
  </sheetData>
  <pageMargins left="0.7" right="0.7" top="0.75" bottom="0.75" header="0.3" footer="0.3"/>
  <pageSetup scale="88" fitToHeight="0"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7"/>
  <sheetViews>
    <sheetView showGridLines="0" zoomScaleNormal="100" workbookViewId="0">
      <selection activeCell="A6" sqref="A6"/>
    </sheetView>
  </sheetViews>
  <sheetFormatPr defaultRowHeight="14.5" x14ac:dyDescent="0.35"/>
  <cols>
    <col min="1" max="1" width="33.453125" customWidth="1"/>
    <col min="2" max="2" width="32.54296875" customWidth="1"/>
    <col min="3" max="3" width="20.54296875" customWidth="1"/>
  </cols>
  <sheetData>
    <row r="1" spans="1:3" ht="28.5" x14ac:dyDescent="0.35">
      <c r="A1" s="169" t="s">
        <v>83</v>
      </c>
      <c r="B1" s="171"/>
      <c r="C1" s="171"/>
    </row>
    <row r="2" spans="1:3" ht="18" customHeight="1" x14ac:dyDescent="0.35">
      <c r="A2" s="175" t="s">
        <v>70</v>
      </c>
    </row>
    <row r="3" spans="1:3" ht="18" customHeight="1" x14ac:dyDescent="0.35">
      <c r="A3" s="175" t="s">
        <v>126</v>
      </c>
    </row>
    <row r="4" spans="1:3" ht="18" customHeight="1" x14ac:dyDescent="0.35">
      <c r="A4" s="175" t="s">
        <v>124</v>
      </c>
    </row>
    <row r="5" spans="1:3" ht="18" customHeight="1" x14ac:dyDescent="0.35">
      <c r="A5" s="176" t="s">
        <v>125</v>
      </c>
    </row>
    <row r="6" spans="1:3" ht="21" customHeight="1" x14ac:dyDescent="0.35">
      <c r="A6" s="82" t="s">
        <v>58</v>
      </c>
      <c r="B6" s="69" t="s">
        <v>69</v>
      </c>
      <c r="C6" s="69" t="s">
        <v>95</v>
      </c>
    </row>
    <row r="7" spans="1:3" ht="18" customHeight="1" x14ac:dyDescent="0.35">
      <c r="A7" s="58" t="s">
        <v>59</v>
      </c>
      <c r="B7" s="59"/>
      <c r="C7" s="70"/>
    </row>
    <row r="8" spans="1:3" ht="18" customHeight="1" x14ac:dyDescent="0.35">
      <c r="A8" s="58" t="s">
        <v>60</v>
      </c>
      <c r="B8" s="59"/>
      <c r="C8" s="70"/>
    </row>
    <row r="9" spans="1:3" ht="18" customHeight="1" x14ac:dyDescent="0.35">
      <c r="A9" s="58" t="s">
        <v>61</v>
      </c>
      <c r="B9" s="59"/>
      <c r="C9" s="70"/>
    </row>
    <row r="10" spans="1:3" ht="18" customHeight="1" x14ac:dyDescent="0.35">
      <c r="A10" s="58" t="s">
        <v>62</v>
      </c>
      <c r="B10" s="59"/>
      <c r="C10" s="70"/>
    </row>
    <row r="11" spans="1:3" ht="18" customHeight="1" x14ac:dyDescent="0.35">
      <c r="A11" s="58" t="s">
        <v>63</v>
      </c>
      <c r="B11" s="59"/>
      <c r="C11" s="70"/>
    </row>
    <row r="12" spans="1:3" ht="18" customHeight="1" x14ac:dyDescent="0.35">
      <c r="A12" s="58" t="s">
        <v>64</v>
      </c>
      <c r="B12" s="59"/>
      <c r="C12" s="70"/>
    </row>
    <row r="13" spans="1:3" ht="18" customHeight="1" x14ac:dyDescent="0.35">
      <c r="A13" s="58" t="s">
        <v>65</v>
      </c>
      <c r="B13" s="59"/>
      <c r="C13" s="70"/>
    </row>
    <row r="14" spans="1:3" ht="18" customHeight="1" x14ac:dyDescent="0.35">
      <c r="A14" s="58" t="s">
        <v>66</v>
      </c>
      <c r="B14" s="59"/>
      <c r="C14" s="70"/>
    </row>
    <row r="15" spans="1:3" ht="18" customHeight="1" x14ac:dyDescent="0.35">
      <c r="A15" s="58" t="s">
        <v>67</v>
      </c>
      <c r="B15" s="59"/>
      <c r="C15" s="70"/>
    </row>
    <row r="16" spans="1:3" ht="18" customHeight="1" x14ac:dyDescent="0.35">
      <c r="A16" s="71" t="s">
        <v>68</v>
      </c>
      <c r="B16" s="72"/>
      <c r="C16" s="73"/>
    </row>
    <row r="17" spans="1:1" x14ac:dyDescent="0.35">
      <c r="A17" s="3"/>
    </row>
  </sheetData>
  <pageMargins left="0.7" right="0.7" top="0.75" bottom="0.75" header="0.3" footer="0.3"/>
  <pageSetup fitToHeight="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4"/>
  <sheetViews>
    <sheetView showGridLines="0" zoomScaleNormal="100" workbookViewId="0">
      <selection activeCell="C4" sqref="C4"/>
    </sheetView>
  </sheetViews>
  <sheetFormatPr defaultRowHeight="14.5" x14ac:dyDescent="0.35"/>
  <cols>
    <col min="1" max="1" width="73.453125" bestFit="1" customWidth="1"/>
    <col min="2" max="2" width="15.54296875" customWidth="1"/>
    <col min="3" max="3" width="11.81640625" customWidth="1"/>
    <col min="4" max="4" width="13.81640625" customWidth="1"/>
    <col min="5" max="5" width="14.26953125" customWidth="1"/>
  </cols>
  <sheetData>
    <row r="1" spans="1:5" ht="28.5" x14ac:dyDescent="0.35">
      <c r="A1" s="169" t="s">
        <v>81</v>
      </c>
      <c r="B1" s="170"/>
      <c r="C1" s="170"/>
      <c r="D1" s="170"/>
      <c r="E1" s="170"/>
    </row>
    <row r="2" spans="1:5" ht="15.5" x14ac:dyDescent="0.35">
      <c r="A2" s="165" t="s">
        <v>72</v>
      </c>
    </row>
    <row r="3" spans="1:5" ht="15.5" x14ac:dyDescent="0.35">
      <c r="A3" s="165" t="s">
        <v>123</v>
      </c>
    </row>
    <row r="4" spans="1:5" ht="18" customHeight="1" x14ac:dyDescent="0.35">
      <c r="A4" s="82" t="s">
        <v>33</v>
      </c>
      <c r="B4" s="56" t="s">
        <v>34</v>
      </c>
      <c r="C4" s="56" t="s">
        <v>35</v>
      </c>
      <c r="D4" s="56" t="s">
        <v>21</v>
      </c>
      <c r="E4" s="69" t="s">
        <v>22</v>
      </c>
    </row>
    <row r="5" spans="1:5" ht="103.5" customHeight="1" x14ac:dyDescent="0.35">
      <c r="A5" s="45" t="s">
        <v>36</v>
      </c>
      <c r="B5" s="49" t="s">
        <v>37</v>
      </c>
      <c r="C5" s="50">
        <v>25.44</v>
      </c>
      <c r="D5" s="49" t="s">
        <v>38</v>
      </c>
      <c r="E5" s="79" t="s">
        <v>39</v>
      </c>
    </row>
    <row r="6" spans="1:5" ht="21" customHeight="1" x14ac:dyDescent="0.35">
      <c r="A6" s="45" t="s">
        <v>40</v>
      </c>
      <c r="B6" s="51" t="s">
        <v>41</v>
      </c>
      <c r="C6" s="44">
        <v>2.4300000000000002</v>
      </c>
      <c r="D6" s="44">
        <v>4.62</v>
      </c>
      <c r="E6" s="80">
        <v>5.59</v>
      </c>
    </row>
    <row r="7" spans="1:5" x14ac:dyDescent="0.35">
      <c r="A7" s="46" t="s">
        <v>89</v>
      </c>
      <c r="B7" s="43"/>
      <c r="C7" s="43"/>
      <c r="D7" s="43"/>
      <c r="E7" s="81"/>
    </row>
    <row r="8" spans="1:5" x14ac:dyDescent="0.35">
      <c r="A8" s="46" t="s">
        <v>6</v>
      </c>
      <c r="B8" s="43"/>
      <c r="C8" s="43"/>
      <c r="D8" s="43"/>
      <c r="E8" s="81"/>
    </row>
    <row r="9" spans="1:5" x14ac:dyDescent="0.35">
      <c r="A9" s="46" t="s">
        <v>42</v>
      </c>
      <c r="B9" s="43"/>
      <c r="C9" s="43"/>
      <c r="D9" s="43"/>
      <c r="E9" s="81"/>
    </row>
    <row r="10" spans="1:5" x14ac:dyDescent="0.35">
      <c r="A10" s="46" t="s">
        <v>43</v>
      </c>
      <c r="B10" s="43"/>
      <c r="C10" s="43"/>
      <c r="D10" s="43"/>
      <c r="E10" s="81"/>
    </row>
    <row r="11" spans="1:5" x14ac:dyDescent="0.35">
      <c r="A11" s="46" t="s">
        <v>44</v>
      </c>
      <c r="B11" s="43"/>
      <c r="C11" s="43"/>
      <c r="D11" s="43"/>
      <c r="E11" s="81"/>
    </row>
    <row r="12" spans="1:5" x14ac:dyDescent="0.35">
      <c r="A12" s="46" t="s">
        <v>45</v>
      </c>
      <c r="B12" s="43"/>
      <c r="C12" s="43"/>
      <c r="D12" s="43"/>
      <c r="E12" s="81"/>
    </row>
    <row r="13" spans="1:5" ht="15.75" customHeight="1" x14ac:dyDescent="0.35">
      <c r="A13" s="46" t="s">
        <v>46</v>
      </c>
      <c r="B13" s="43"/>
      <c r="C13" s="43"/>
      <c r="D13" s="43"/>
      <c r="E13" s="81"/>
    </row>
    <row r="14" spans="1:5" x14ac:dyDescent="0.35">
      <c r="A14" s="47" t="s">
        <v>47</v>
      </c>
      <c r="B14" s="83"/>
      <c r="C14" s="83"/>
      <c r="D14" s="83"/>
      <c r="E14" s="84"/>
    </row>
  </sheetData>
  <pageMargins left="0.7" right="0.7" top="0.75" bottom="0.75" header="0.3" footer="0.3"/>
  <pageSetup scale="79"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B9089B90E61545952A34893FDB3761" ma:contentTypeVersion="13" ma:contentTypeDescription="Create a new document." ma:contentTypeScope="" ma:versionID="9e6bd5461b163017a303eee68cf769af">
  <xsd:schema xmlns:xsd="http://www.w3.org/2001/XMLSchema" xmlns:xs="http://www.w3.org/2001/XMLSchema" xmlns:p="http://schemas.microsoft.com/office/2006/metadata/properties" xmlns:ns2="4aa46d4e-ede3-4fce-b155-5009f40ef555" xmlns:ns3="3d2b8b79-70f1-48fa-a77d-4609fbf639b4" xmlns:ns4="66810af5-81b7-4a54-9be9-ba2a8ed138ad" targetNamespace="http://schemas.microsoft.com/office/2006/metadata/properties" ma:root="true" ma:fieldsID="d2bc23f36c16a348638001bb85e9324c" ns2:_="" ns3:_="" ns4:_="">
    <xsd:import namespace="4aa46d4e-ede3-4fce-b155-5009f40ef555"/>
    <xsd:import namespace="3d2b8b79-70f1-48fa-a77d-4609fbf639b4"/>
    <xsd:import namespace="66810af5-81b7-4a54-9be9-ba2a8ed138ad"/>
    <xsd:element name="properties">
      <xsd:complexType>
        <xsd:sequence>
          <xsd:element name="documentManagement">
            <xsd:complexType>
              <xsd:all>
                <xsd:element ref="ns2:MediaServiceMetadata" minOccurs="0"/>
                <xsd:element ref="ns2:MediaServiceFastMetadata" minOccurs="0"/>
                <xsd:element ref="ns2:compiled_x003f_"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a46d4e-ede3-4fce-b155-5009f40ef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piled_x003f_" ma:index="10" nillable="true" ma:displayName="compiled?" ma:default="0" ma:format="Dropdown" ma:internalName="compiled_x003f_">
      <xsd:simpleType>
        <xsd:restriction base="dms:Boolean"/>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59d6a30-35d4-4125-9895-745589be728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2b8b79-70f1-48fa-a77d-4609fbf639b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810af5-81b7-4a54-9be9-ba2a8ed138a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2bba084-3ccf-4adf-933e-13e6819984b1}" ma:internalName="TaxCatchAll" ma:showField="CatchAllData" ma:web="3d2b8b79-70f1-48fa-a77d-4609fbf63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E8206C-4076-4107-8FD6-A4D87D873382}">
  <ds:schemaRefs>
    <ds:schemaRef ds:uri="http://schemas.microsoft.com/sharepoint/v3/contenttype/forms"/>
  </ds:schemaRefs>
</ds:datastoreItem>
</file>

<file path=customXml/itemProps2.xml><?xml version="1.0" encoding="utf-8"?>
<ds:datastoreItem xmlns:ds="http://schemas.openxmlformats.org/officeDocument/2006/customXml" ds:itemID="{71382D23-1917-4421-9559-167CF06BAB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a46d4e-ede3-4fce-b155-5009f40ef555"/>
    <ds:schemaRef ds:uri="3d2b8b79-70f1-48fa-a77d-4609fbf639b4"/>
    <ds:schemaRef ds:uri="66810af5-81b7-4a54-9be9-ba2a8ed13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Attachment I (Small Carriers)</vt:lpstr>
      <vt:lpstr>Attachment IA (Small Carriers)</vt:lpstr>
      <vt:lpstr>Attachment II</vt:lpstr>
      <vt:lpstr>Attachment IIB (QG21-24 Large)</vt:lpstr>
      <vt:lpstr>Backup Line 1 - TCR &amp; CRC</vt:lpstr>
      <vt:lpstr>Backup Line 1 - ACR</vt:lpstr>
      <vt:lpstr>Medicare Loading Form</vt:lpstr>
      <vt:lpstr>Potential SSSGs Form</vt:lpstr>
      <vt:lpstr>Special Benefits Form</vt:lpstr>
      <vt:lpstr>'Attachment II'!Print_Area</vt:lpstr>
      <vt:lpstr>year</vt:lpstr>
    </vt:vector>
  </TitlesOfParts>
  <Company>Office of Personnel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Community Rated Rate Proposal Attachments</dc:title>
  <dc:creator>U.S. Office of Personnel Management</dc:creator>
  <cp:keywords>FEHB, Rates, Community-Rated, 2024</cp:keywords>
  <cp:lastModifiedBy>Miller, Janet L.</cp:lastModifiedBy>
  <cp:lastPrinted>2017-03-01T16:20:57Z</cp:lastPrinted>
  <dcterms:created xsi:type="dcterms:W3CDTF">2017-01-04T17:54:35Z</dcterms:created>
  <dcterms:modified xsi:type="dcterms:W3CDTF">2023-04-27T21:20:47Z</dcterms:modified>
</cp:coreProperties>
</file>